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<sst xmlns="http://schemas.openxmlformats.org/spreadsheetml/2006/main" count="861" uniqueCount="327">
  <si>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</si>
  <si>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</si>
  <si>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</si>
  <si>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</si>
  <si>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</si>
  <si>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</si>
  <si>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</si>
  <si>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</si>
  <si>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</si>
  <si>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</si>
  <si>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</si>
  <si>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</si>
  <si>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</si>
  <si>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</si>
  <si>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</si>
  <si>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</si>
  <si>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</si>
  <si>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</si>
  <si>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</si>
  <si>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</si>
  <si>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</si>
  <si>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</si>
  <si>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</si>
  <si>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</si>
  <si>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</si>
  <si>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</si>
  <si>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</si>
  <si>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</si>
  <si>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</si>
  <si>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</si>
  <si>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</si>
  <si>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</si>
  <si>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</si>
  <si>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</si>
  <si>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</si>
  <si>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</si>
  <si>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</si>
  <si>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</si>
  <si>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</si>
  <si>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</si>
  <si>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</si>
  <si>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</si>
  <si>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</si>
  <si>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</si>
  <si>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</si>
  <si>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</si>
  <si>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</si>
  <si>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</si>
  <si>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</si>
  <si>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</si>
  <si>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</si>
  <si>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</si>
  <si>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</si>
  <si>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</si>
  <si>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</si>
  <si>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</si>
  <si>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</si>
  <si>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</si>
  <si>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</si>
  <si>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</si>
  <si>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</si>
  <si>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</si>
  <si>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</si>
  <si>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</si>
  <si>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</si>
  <si>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</si>
  <si>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</si>
  <si>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</si>
  <si>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</si>
  <si>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</si>
  <si>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</si>
  <si>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</si>
  <si>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Poznámka:</t>
  </si>
  <si>
    <t>Kód</t>
  </si>
  <si>
    <t>0</t>
  </si>
  <si>
    <t>006VD</t>
  </si>
  <si>
    <t>007VD</t>
  </si>
  <si>
    <t>151101101R00</t>
  </si>
  <si>
    <t>281601114RA0</t>
  </si>
  <si>
    <t>999281111R00</t>
  </si>
  <si>
    <t>58591598</t>
  </si>
  <si>
    <t>346275111R00</t>
  </si>
  <si>
    <t>784191201R00</t>
  </si>
  <si>
    <t>784195412R00</t>
  </si>
  <si>
    <t>564972111R00</t>
  </si>
  <si>
    <t>572942111R00</t>
  </si>
  <si>
    <t>572942112R00</t>
  </si>
  <si>
    <t>596100030RAD</t>
  </si>
  <si>
    <t>631312611RM1</t>
  </si>
  <si>
    <t>631313611RM1</t>
  </si>
  <si>
    <t>631310034RA0</t>
  </si>
  <si>
    <t>711</t>
  </si>
  <si>
    <t>619442431R00</t>
  </si>
  <si>
    <t>711111002RZ1</t>
  </si>
  <si>
    <t>711141559R00</t>
  </si>
  <si>
    <t>628522691</t>
  </si>
  <si>
    <t>721</t>
  </si>
  <si>
    <t>721223424RT1</t>
  </si>
  <si>
    <t>721223423RT1</t>
  </si>
  <si>
    <t>89</t>
  </si>
  <si>
    <t>894310010RA0</t>
  </si>
  <si>
    <t>008VD</t>
  </si>
  <si>
    <t>91</t>
  </si>
  <si>
    <t>919735124R00</t>
  </si>
  <si>
    <t>961100015RA0</t>
  </si>
  <si>
    <t>965200021RA0</t>
  </si>
  <si>
    <t>132200012RA0</t>
  </si>
  <si>
    <t>132200010RA0</t>
  </si>
  <si>
    <t>100001500R00</t>
  </si>
  <si>
    <t>622311512R00</t>
  </si>
  <si>
    <t>711823121RT2</t>
  </si>
  <si>
    <t>622432111R00</t>
  </si>
  <si>
    <t>767422112R00</t>
  </si>
  <si>
    <t>289970111R00</t>
  </si>
  <si>
    <t>212810010RA0</t>
  </si>
  <si>
    <t>212572121R00</t>
  </si>
  <si>
    <t>215901101RT5</t>
  </si>
  <si>
    <t>916661111RT5</t>
  </si>
  <si>
    <t>460030081RT3</t>
  </si>
  <si>
    <t>965200012RA0</t>
  </si>
  <si>
    <t>95</t>
  </si>
  <si>
    <t>952901111R00</t>
  </si>
  <si>
    <t>96</t>
  </si>
  <si>
    <t>771990010RA0</t>
  </si>
  <si>
    <t>965043421RT1</t>
  </si>
  <si>
    <t>97</t>
  </si>
  <si>
    <t>978013191R00</t>
  </si>
  <si>
    <t>978023411R00</t>
  </si>
  <si>
    <t>M46</t>
  </si>
  <si>
    <t>460680046R00</t>
  </si>
  <si>
    <t>346234312R00</t>
  </si>
  <si>
    <t>S00</t>
  </si>
  <si>
    <t>979084213R00</t>
  </si>
  <si>
    <t>979081121R00</t>
  </si>
  <si>
    <t>979082111R00</t>
  </si>
  <si>
    <t>979999998R00</t>
  </si>
  <si>
    <t>979087212R00</t>
  </si>
  <si>
    <t>Sanace suterénu kotelny Dělnického domu ve Studénce</t>
  </si>
  <si>
    <t>Zkrácený popis</t>
  </si>
  <si>
    <t>Rozměry</t>
  </si>
  <si>
    <t>Všeobecné konstrukce a práce</t>
  </si>
  <si>
    <t>Montáž a demontáž stávající technologie</t>
  </si>
  <si>
    <t>Výchozí revize</t>
  </si>
  <si>
    <t>Roubení</t>
  </si>
  <si>
    <t>Pažení a rozepření stěn rýh - příložné - hl.do 2 m</t>
  </si>
  <si>
    <t>Zpevňování hornin a konstrukcí</t>
  </si>
  <si>
    <t>Injektáž zdiva cihlového do tl. 90 cm</t>
  </si>
  <si>
    <t>Přesun hmot pro opravy a údržbu do výšky 25 m</t>
  </si>
  <si>
    <t>Stěny a příčky</t>
  </si>
  <si>
    <t>Cemix Lepicí a stěrková hmota difuzní</t>
  </si>
  <si>
    <t>Přizdívky svislých sanačních desek 50x950x950 mm IsoAir</t>
  </si>
  <si>
    <t>Penetrace podkladu - difuzní</t>
  </si>
  <si>
    <t>Malba Primalex bílá, difuzní</t>
  </si>
  <si>
    <t>Podkladní vrstvy komunikací, letišť a ploch</t>
  </si>
  <si>
    <t>Podklad z mechanicky zpevněného kameniva tl. 25 cm frakce 16-32</t>
  </si>
  <si>
    <t>Kryty pozemních komunikací, letišť a ploch z kameniva nebo živičné</t>
  </si>
  <si>
    <t>Vyspravení krytu po překopu lit.asfaltem, do 4 cm</t>
  </si>
  <si>
    <t>Vyspravení krytu po překopu lit.asfaltem, do 6 cm</t>
  </si>
  <si>
    <t>Kryty pozemních komunikací, letišť a ploch dlážděných (předlažby)</t>
  </si>
  <si>
    <t>Chodník z dlažby betonové 50 x 50 x 5 cm, podklad štěrkodrť</t>
  </si>
  <si>
    <t>Podlahy a podlahové konstrukce</t>
  </si>
  <si>
    <t>Mazanina betonová tl. 7 cm C 16/20</t>
  </si>
  <si>
    <t>Mazanina betonová tl. 10 cm C 16/20</t>
  </si>
  <si>
    <t>Mazanina z betonu C 16/20, tloušťka 15 cm (dobetonování k obrubníku)</t>
  </si>
  <si>
    <t>Izolace proti vodě</t>
  </si>
  <si>
    <t>Vytažení fabionů,hran a koutů jakékoliv délky</t>
  </si>
  <si>
    <t>Izolace proti vlhk.vodor. nátěr asf.lak za studena</t>
  </si>
  <si>
    <t>Izolace proti vlhk. vodorovná pásy přitavením (až po hydroizolační clonu - injektáž)</t>
  </si>
  <si>
    <t>Pás modifikovaný asfalt Glastek AL 40 mineral</t>
  </si>
  <si>
    <t>Vnitřní kanalizace</t>
  </si>
  <si>
    <t>Vpusť podlahová se zápachovou uzávěrkou 150/150 mm</t>
  </si>
  <si>
    <t>Vpusť podlahová se zápachovou uzávěrkou průměr 100 mm</t>
  </si>
  <si>
    <t>Ostatní konstrukce a práce na trubním vedení</t>
  </si>
  <si>
    <t>Šachtice z C 12/15, do 0,75 m3 OP</t>
  </si>
  <si>
    <t>Ponorné čerpadlo</t>
  </si>
  <si>
    <t>Doplňující konstrukce a práce na pozemních komunikacích a zpevněných plochách</t>
  </si>
  <si>
    <t>Řezání stávajícího betonového krytu tl. 15 - 20 cm</t>
  </si>
  <si>
    <t>Bourání betonu prostého</t>
  </si>
  <si>
    <t>Odstranění násypů pod podlahami a na střechách</t>
  </si>
  <si>
    <t>Hloubení nezapaž.rýh šířky do 200 cm v hornině 1-4</t>
  </si>
  <si>
    <t>Hloubení nezapaž. rýh šířky do 60 cm v hornině 1-4</t>
  </si>
  <si>
    <t>Dočištění obvodového zdiva</t>
  </si>
  <si>
    <t>Izolace suterénu Baumit XPS tl. 100 mm včetně kotvení</t>
  </si>
  <si>
    <t>Montáž nopové fólie svisle k základu (včetně dodávky fólie)</t>
  </si>
  <si>
    <t>Omítka stěn weber-pas marmolit jemnozrnná</t>
  </si>
  <si>
    <t>Montáž opláštění - oplechování soklu</t>
  </si>
  <si>
    <t>Vrstva geotextilie Geofiltex 300g/m2</t>
  </si>
  <si>
    <t>Trativody z PVC drenážních flexibilních trubek včetně napojení do kanalizační šachty</t>
  </si>
  <si>
    <t>Lože trativodu z kameniva drobného těženého fr. 16/32</t>
  </si>
  <si>
    <t>Hutnění ve vrstvách</t>
  </si>
  <si>
    <t>Osazení park. obrubníků do lože z C 12/15 s opěrou</t>
  </si>
  <si>
    <t>Řezání spáry v asfaltu</t>
  </si>
  <si>
    <t>Bourání mazanin asfaltových</t>
  </si>
  <si>
    <t>Různé dokončovací konstrukce a práce na pozemních stavbách</t>
  </si>
  <si>
    <t>Vyčištění plochy staveniště</t>
  </si>
  <si>
    <t>Bourání konstrukcí</t>
  </si>
  <si>
    <t>Vybourání keramické nebo teracové dlažby</t>
  </si>
  <si>
    <t>Bourání podkladů bet., potěr tl. 15 cm, pl.1 m2</t>
  </si>
  <si>
    <t>Vyčištění budov o výšce podlaží do 4 m (po bourání)</t>
  </si>
  <si>
    <t>Vyčištění budov o výšce podlaží do 4 m (po dokončení)</t>
  </si>
  <si>
    <t>Prorážení otvorů a ostatní bourací práce</t>
  </si>
  <si>
    <t>Otlučení omítek vnitřních stěn v rozsahu do 100 %</t>
  </si>
  <si>
    <t>Vysekání a úprava spár zdiva cihelného mimo komín.</t>
  </si>
  <si>
    <t>Dočištění stěny</t>
  </si>
  <si>
    <t>Zemní práce při montážích</t>
  </si>
  <si>
    <t>Vysekání drážky ve zdi smíšené (cihla, beton, kámen)</t>
  </si>
  <si>
    <t>Zazdívka rýh, průduch z drenážních trub</t>
  </si>
  <si>
    <t>Běžné stavební práce</t>
  </si>
  <si>
    <t>Vodorovná doprava vybour. hmot po suchu do 1 km</t>
  </si>
  <si>
    <t>Příplatek k odvozu za každý další 1 km</t>
  </si>
  <si>
    <t>Vnitrostaveništní doprava suti do 10 m</t>
  </si>
  <si>
    <t>Poplatek za skládku suti 5% příměsí</t>
  </si>
  <si>
    <t>Nakládání suti na dopravní prostředky - komunikace</t>
  </si>
  <si>
    <t>Doba výstavby:</t>
  </si>
  <si>
    <t>Začátek výstavby:</t>
  </si>
  <si>
    <t>Konec výstavby:</t>
  </si>
  <si>
    <t>Zpracováno dne:</t>
  </si>
  <si>
    <t>MJ</t>
  </si>
  <si>
    <t>soubor</t>
  </si>
  <si>
    <t>m2</t>
  </si>
  <si>
    <t>m</t>
  </si>
  <si>
    <t>t</t>
  </si>
  <si>
    <t>m3</t>
  </si>
  <si>
    <t>kus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</si>
  <si>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</si>
  <si>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</si>
  <si>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</si>
  <si>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</si>
  <si>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</si>
  <si>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</si>
  <si>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</si>
  <si>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</si>
  <si>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</si>
  <si>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</si>
  <si>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</si>
  <si>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</si>
  <si>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</si>
  <si>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</si>
  <si>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</si>
  <si>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</si>
  <si>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</si>
  <si>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</si>
  <si>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</si>
  <si>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</si>
  <si>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</si>
  <si>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</si>
  <si>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</si>
  <si>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</si>
  <si>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</si>
  <si>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</si>
  <si>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15_</t>
  </si>
  <si>
    <t>28_</t>
  </si>
  <si>
    <t>34_</t>
  </si>
  <si>
    <t>56_</t>
  </si>
  <si>
    <t>57_</t>
  </si>
  <si>
    <t>59_</t>
  </si>
  <si>
    <t>63_</t>
  </si>
  <si>
    <t>711_</t>
  </si>
  <si>
    <t>721_</t>
  </si>
  <si>
    <t>89_</t>
  </si>
  <si>
    <t>91_</t>
  </si>
  <si>
    <t>95_</t>
  </si>
  <si>
    <t>96_</t>
  </si>
  <si>
    <t>97_</t>
  </si>
  <si>
    <t>M46_</t>
  </si>
  <si>
    <t>S00_</t>
  </si>
  <si>
    <t>1_</t>
  </si>
  <si>
    <t>2_</t>
  </si>
  <si>
    <t>3_</t>
  </si>
  <si>
    <t>5_</t>
  </si>
  <si>
    <t>6_</t>
  </si>
  <si>
    <t>71_</t>
  </si>
  <si>
    <t>72_</t>
  </si>
  <si>
    <t>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</si>
  <si>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</si>
  <si>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</si>
  <si>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</si>
  <si>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</si>
  <si>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</si>
  <si>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</si>
  <si>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</si>
  <si>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</si>
  <si>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</si>
  <si>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</si>
  <si>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</si>
  <si>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</si>
  <si>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</si>
  <si>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</si>
  <si>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</si>
  <si>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</si>
  <si>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</si>
  <si>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</si>
  <si>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</si>
  <si>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</si>
  <si>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</si>
  <si>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</si>
  <si>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</si>
  <si>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</si>
  <si>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</si>
  <si>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</si>
  <si>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 xml:space="preserve">Finanční rezerva </t>
  </si>
  <si>
    <t xml:space="preserve">Kompletační činnost </t>
  </si>
  <si>
    <t>Zabezpeč. staveniště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</si>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</sst>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1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1" xfId="0" applyNumberFormat="1" applyFont="1" applyFill="1" applyBorder="1" applyAlignment="1" applyProtection="1">
      <alignment horizontal="right" vertical="center"/>
      <protection/>
    </xf>
    <xf numFmtId="49" fontId="12" fillId="0" borderId="31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8" fillId="33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36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6"/>
  <sheetViews>
    <sheetView tabSelected="1" zoomScalePageLayoutView="0" workbookViewId="0" topLeftCell="A1">
      <selection activeCell="I8" sqref="I8:L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6.5742187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4" width="12.140625" style="0" hidden="1" customWidth="1"/>
  </cols>
  <sheetData>
    <row r="1" spans="1:12" ht="72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2.75">
      <c r="A2" s="66" t="s">
        <v>1</v>
      </c>
      <c r="B2" s="67"/>
      <c r="C2" s="70" t="s">
        <v>137</v>
      </c>
      <c r="D2" s="72" t="s">
        <v>213</v>
      </c>
      <c r="E2" s="67"/>
      <c r="F2" s="72" t="s">
        <v>6</v>
      </c>
      <c r="G2" s="67"/>
      <c r="H2" s="73" t="s">
        <v>225</v>
      </c>
      <c r="I2" s="72" t="s">
        <v>231</v>
      </c>
      <c r="J2" s="67"/>
      <c r="K2" s="67"/>
      <c r="L2" s="74"/>
      <c r="M2" s="35"/>
    </row>
    <row r="3" spans="1:13" ht="12.75">
      <c r="A3" s="68"/>
      <c r="B3" s="69"/>
      <c r="C3" s="71"/>
      <c r="D3" s="69"/>
      <c r="E3" s="69"/>
      <c r="F3" s="69"/>
      <c r="G3" s="69"/>
      <c r="H3" s="69"/>
      <c r="I3" s="69"/>
      <c r="J3" s="69"/>
      <c r="K3" s="69"/>
      <c r="L3" s="75"/>
      <c r="M3" s="35"/>
    </row>
    <row r="4" spans="1:13" ht="12.75">
      <c r="A4" s="76" t="s">
        <v>2</v>
      </c>
      <c r="B4" s="69"/>
      <c r="C4" s="77" t="s">
        <v>6</v>
      </c>
      <c r="D4" s="78" t="s">
        <v>214</v>
      </c>
      <c r="E4" s="69"/>
      <c r="F4" s="78"/>
      <c r="G4" s="69"/>
      <c r="H4" s="77" t="s">
        <v>226</v>
      </c>
      <c r="I4" s="78" t="s">
        <v>231</v>
      </c>
      <c r="J4" s="69"/>
      <c r="K4" s="69"/>
      <c r="L4" s="75"/>
      <c r="M4" s="35"/>
    </row>
    <row r="5" spans="1:13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75"/>
      <c r="M5" s="35"/>
    </row>
    <row r="6" spans="1:13" ht="12.75">
      <c r="A6" s="76" t="s">
        <v>3</v>
      </c>
      <c r="B6" s="69"/>
      <c r="C6" s="77" t="s">
        <v>6</v>
      </c>
      <c r="D6" s="78" t="s">
        <v>215</v>
      </c>
      <c r="E6" s="69"/>
      <c r="F6" s="78" t="s">
        <v>6</v>
      </c>
      <c r="G6" s="69"/>
      <c r="H6" s="77" t="s">
        <v>227</v>
      </c>
      <c r="I6" s="78" t="s">
        <v>231</v>
      </c>
      <c r="J6" s="69"/>
      <c r="K6" s="69"/>
      <c r="L6" s="75"/>
      <c r="M6" s="35"/>
    </row>
    <row r="7" spans="1:13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75"/>
      <c r="M7" s="35"/>
    </row>
    <row r="8" spans="1:13" ht="12.75">
      <c r="A8" s="76" t="s">
        <v>4</v>
      </c>
      <c r="B8" s="69"/>
      <c r="C8" s="77" t="s">
        <v>6</v>
      </c>
      <c r="D8" s="78" t="s">
        <v>216</v>
      </c>
      <c r="E8" s="69"/>
      <c r="F8" s="78"/>
      <c r="G8" s="69"/>
      <c r="H8" s="77" t="s">
        <v>228</v>
      </c>
      <c r="I8" s="78" t="s">
        <v>231</v>
      </c>
      <c r="J8" s="69"/>
      <c r="K8" s="69"/>
      <c r="L8" s="75"/>
      <c r="M8" s="35"/>
    </row>
    <row r="9" spans="1:13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35"/>
    </row>
    <row r="10" spans="1:64" ht="12.75">
      <c r="A10" s="1" t="s">
        <v>5</v>
      </c>
      <c r="B10" s="10" t="s">
        <v>73</v>
      </c>
      <c r="C10" s="82" t="s">
        <v>138</v>
      </c>
      <c r="D10" s="83"/>
      <c r="E10" s="84"/>
      <c r="F10" s="10" t="s">
        <v>217</v>
      </c>
      <c r="G10" s="19" t="s">
        <v>224</v>
      </c>
      <c r="H10" s="23" t="s">
        <v>229</v>
      </c>
      <c r="I10" s="85" t="s">
        <v>232</v>
      </c>
      <c r="J10" s="86"/>
      <c r="K10" s="87"/>
      <c r="L10" s="28" t="s">
        <v>237</v>
      </c>
      <c r="M10" s="36"/>
      <c r="BK10" s="37" t="s">
        <v>279</v>
      </c>
      <c r="BL10" s="42" t="s">
        <v>282</v>
      </c>
    </row>
    <row r="11" spans="1:62" ht="12.75">
      <c r="A11" s="2" t="s">
        <v>6</v>
      </c>
      <c r="B11" s="11" t="s">
        <v>6</v>
      </c>
      <c r="C11" s="88" t="s">
        <v>139</v>
      </c>
      <c r="D11" s="89"/>
      <c r="E11" s="90"/>
      <c r="F11" s="11" t="s">
        <v>6</v>
      </c>
      <c r="G11" s="11" t="s">
        <v>6</v>
      </c>
      <c r="H11" s="24" t="s">
        <v>230</v>
      </c>
      <c r="I11" s="25" t="s">
        <v>233</v>
      </c>
      <c r="J11" s="26" t="s">
        <v>235</v>
      </c>
      <c r="K11" s="27" t="s">
        <v>236</v>
      </c>
      <c r="L11" s="29" t="s">
        <v>238</v>
      </c>
      <c r="M11" s="36"/>
      <c r="Z11" s="37" t="s">
        <v>240</v>
      </c>
      <c r="AA11" s="37" t="s">
        <v>241</v>
      </c>
      <c r="AB11" s="37" t="s">
        <v>242</v>
      </c>
      <c r="AC11" s="37" t="s">
        <v>243</v>
      </c>
      <c r="AD11" s="37" t="s">
        <v>244</v>
      </c>
      <c r="AE11" s="37" t="s">
        <v>245</v>
      </c>
      <c r="AF11" s="37" t="s">
        <v>246</v>
      </c>
      <c r="AG11" s="37" t="s">
        <v>247</v>
      </c>
      <c r="AH11" s="37" t="s">
        <v>248</v>
      </c>
      <c r="BH11" s="37" t="s">
        <v>276</v>
      </c>
      <c r="BI11" s="37" t="s">
        <v>277</v>
      </c>
      <c r="BJ11" s="37" t="s">
        <v>278</v>
      </c>
    </row>
    <row r="12" spans="1:47" ht="12.75">
      <c r="A12" s="3"/>
      <c r="B12" s="12" t="s">
        <v>74</v>
      </c>
      <c r="C12" s="91" t="s">
        <v>140</v>
      </c>
      <c r="D12" s="92"/>
      <c r="E12" s="92"/>
      <c r="F12" s="17" t="s">
        <v>6</v>
      </c>
      <c r="G12" s="17" t="s">
        <v>6</v>
      </c>
      <c r="H12" s="17" t="s">
        <v>6</v>
      </c>
      <c r="I12" s="43">
        <f>SUM(I13:I14)</f>
        <v>0</v>
      </c>
      <c r="J12" s="43">
        <f>SUM(J13:J14)</f>
        <v>0</v>
      </c>
      <c r="K12" s="43">
        <f>SUM(K13:K14)</f>
        <v>0</v>
      </c>
      <c r="L12" s="30"/>
      <c r="M12" s="35"/>
      <c r="AI12" s="37"/>
      <c r="AS12" s="44">
        <f>SUM(AJ13:AJ14)</f>
        <v>0</v>
      </c>
      <c r="AT12" s="44">
        <f>SUM(AK13:AK14)</f>
        <v>0</v>
      </c>
      <c r="AU12" s="44">
        <f>SUM(AL13:AL14)</f>
        <v>0</v>
      </c>
    </row>
    <row r="13" spans="1:64" ht="12.75">
      <c r="A13" s="4" t="s">
        <v>7</v>
      </c>
      <c r="B13" s="13" t="s">
        <v>75</v>
      </c>
      <c r="C13" s="93" t="s">
        <v>141</v>
      </c>
      <c r="D13" s="94"/>
      <c r="E13" s="94"/>
      <c r="F13" s="13" t="s">
        <v>218</v>
      </c>
      <c r="G13" s="20">
        <v>1</v>
      </c>
      <c r="H13" s="20">
        <v>0</v>
      </c>
      <c r="I13" s="20">
        <f>G13*AO13</f>
        <v>0</v>
      </c>
      <c r="J13" s="20">
        <f>G13*AP13</f>
        <v>0</v>
      </c>
      <c r="K13" s="20">
        <f>G13*H13</f>
        <v>0</v>
      </c>
      <c r="L13" s="31"/>
      <c r="M13" s="35"/>
      <c r="Z13" s="38">
        <f>IF(AQ13="5",BJ13,0)</f>
        <v>0</v>
      </c>
      <c r="AB13" s="38">
        <f>IF(AQ13="1",BH13,0)</f>
        <v>0</v>
      </c>
      <c r="AC13" s="38">
        <f>IF(AQ13="1",BI13,0)</f>
        <v>0</v>
      </c>
      <c r="AD13" s="38">
        <f>IF(AQ13="7",BH13,0)</f>
        <v>0</v>
      </c>
      <c r="AE13" s="38">
        <f>IF(AQ13="7",BI13,0)</f>
        <v>0</v>
      </c>
      <c r="AF13" s="38">
        <f>IF(AQ13="2",BH13,0)</f>
        <v>0</v>
      </c>
      <c r="AG13" s="38">
        <f>IF(AQ13="2",BI13,0)</f>
        <v>0</v>
      </c>
      <c r="AH13" s="38">
        <f>IF(AQ13="0",BJ13,0)</f>
        <v>0</v>
      </c>
      <c r="AI13" s="37"/>
      <c r="AJ13" s="20">
        <f>IF(AN13=0,K13,0)</f>
        <v>0</v>
      </c>
      <c r="AK13" s="20">
        <f>IF(AN13=15,K13,0)</f>
        <v>0</v>
      </c>
      <c r="AL13" s="20">
        <f>IF(AN13=21,K13,0)</f>
        <v>0</v>
      </c>
      <c r="AN13" s="38">
        <v>21</v>
      </c>
      <c r="AO13" s="38">
        <f>H13*0.5</f>
        <v>0</v>
      </c>
      <c r="AP13" s="38">
        <f>H13*(1-0.5)</f>
        <v>0</v>
      </c>
      <c r="AQ13" s="39" t="s">
        <v>7</v>
      </c>
      <c r="AV13" s="38">
        <f>AW13+AX13</f>
        <v>0</v>
      </c>
      <c r="AW13" s="38">
        <f>G13*AO13</f>
        <v>0</v>
      </c>
      <c r="AX13" s="38">
        <f>G13*AP13</f>
        <v>0</v>
      </c>
      <c r="AY13" s="41" t="s">
        <v>249</v>
      </c>
      <c r="AZ13" s="41" t="s">
        <v>249</v>
      </c>
      <c r="BA13" s="37" t="s">
        <v>275</v>
      </c>
      <c r="BC13" s="38">
        <f>AW13+AX13</f>
        <v>0</v>
      </c>
      <c r="BD13" s="38">
        <f>H13/(100-BE13)*100</f>
        <v>0</v>
      </c>
      <c r="BE13" s="38">
        <v>0</v>
      </c>
      <c r="BF13" s="38">
        <f>13</f>
        <v>13</v>
      </c>
      <c r="BH13" s="20">
        <f>G13*AO13</f>
        <v>0</v>
      </c>
      <c r="BI13" s="20">
        <f>G13*AP13</f>
        <v>0</v>
      </c>
      <c r="BJ13" s="20">
        <f>G13*H13</f>
        <v>0</v>
      </c>
      <c r="BK13" s="20" t="s">
        <v>280</v>
      </c>
      <c r="BL13" s="38">
        <v>0</v>
      </c>
    </row>
    <row r="14" spans="1:64" ht="12.75">
      <c r="A14" s="4" t="s">
        <v>8</v>
      </c>
      <c r="B14" s="13" t="s">
        <v>76</v>
      </c>
      <c r="C14" s="93" t="s">
        <v>142</v>
      </c>
      <c r="D14" s="94"/>
      <c r="E14" s="94"/>
      <c r="F14" s="13" t="s">
        <v>218</v>
      </c>
      <c r="G14" s="20">
        <v>1</v>
      </c>
      <c r="H14" s="20">
        <v>0</v>
      </c>
      <c r="I14" s="20">
        <f>G14*AO14</f>
        <v>0</v>
      </c>
      <c r="J14" s="20">
        <f>G14*AP14</f>
        <v>0</v>
      </c>
      <c r="K14" s="20">
        <f>G14*H14</f>
        <v>0</v>
      </c>
      <c r="L14" s="31"/>
      <c r="M14" s="35"/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37"/>
      <c r="AJ14" s="20">
        <f>IF(AN14=0,K14,0)</f>
        <v>0</v>
      </c>
      <c r="AK14" s="20">
        <f>IF(AN14=15,K14,0)</f>
        <v>0</v>
      </c>
      <c r="AL14" s="20">
        <f>IF(AN14=21,K14,0)</f>
        <v>0</v>
      </c>
      <c r="AN14" s="38">
        <v>21</v>
      </c>
      <c r="AO14" s="38">
        <f>H14*1</f>
        <v>0</v>
      </c>
      <c r="AP14" s="38">
        <f>H14*(1-1)</f>
        <v>0</v>
      </c>
      <c r="AQ14" s="39" t="s">
        <v>7</v>
      </c>
      <c r="AV14" s="38">
        <f>AW14+AX14</f>
        <v>0</v>
      </c>
      <c r="AW14" s="38">
        <f>G14*AO14</f>
        <v>0</v>
      </c>
      <c r="AX14" s="38">
        <f>G14*AP14</f>
        <v>0</v>
      </c>
      <c r="AY14" s="41" t="s">
        <v>249</v>
      </c>
      <c r="AZ14" s="41" t="s">
        <v>249</v>
      </c>
      <c r="BA14" s="37" t="s">
        <v>275</v>
      </c>
      <c r="BC14" s="38">
        <f>AW14+AX14</f>
        <v>0</v>
      </c>
      <c r="BD14" s="38">
        <f>H14/(100-BE14)*100</f>
        <v>0</v>
      </c>
      <c r="BE14" s="38">
        <v>0</v>
      </c>
      <c r="BF14" s="38">
        <f>14</f>
        <v>14</v>
      </c>
      <c r="BH14" s="20">
        <f>G14*AO14</f>
        <v>0</v>
      </c>
      <c r="BI14" s="20">
        <f>G14*AP14</f>
        <v>0</v>
      </c>
      <c r="BJ14" s="20">
        <f>G14*H14</f>
        <v>0</v>
      </c>
      <c r="BK14" s="20" t="s">
        <v>280</v>
      </c>
      <c r="BL14" s="38">
        <v>0</v>
      </c>
    </row>
    <row r="15" spans="1:47" ht="12.75">
      <c r="A15" s="5"/>
      <c r="B15" s="14" t="s">
        <v>21</v>
      </c>
      <c r="C15" s="95" t="s">
        <v>143</v>
      </c>
      <c r="D15" s="96"/>
      <c r="E15" s="96"/>
      <c r="F15" s="18" t="s">
        <v>6</v>
      </c>
      <c r="G15" s="18" t="s">
        <v>6</v>
      </c>
      <c r="H15" s="18" t="s">
        <v>6</v>
      </c>
      <c r="I15" s="44">
        <f>SUM(I16:I16)</f>
        <v>0</v>
      </c>
      <c r="J15" s="44">
        <f>SUM(J16:J16)</f>
        <v>0</v>
      </c>
      <c r="K15" s="44">
        <f>SUM(K16:K16)</f>
        <v>0</v>
      </c>
      <c r="L15" s="32"/>
      <c r="M15" s="35"/>
      <c r="AI15" s="37"/>
      <c r="AS15" s="44">
        <f>SUM(AJ16:AJ16)</f>
        <v>0</v>
      </c>
      <c r="AT15" s="44">
        <f>SUM(AK16:AK16)</f>
        <v>0</v>
      </c>
      <c r="AU15" s="44">
        <f>SUM(AL16:AL16)</f>
        <v>0</v>
      </c>
    </row>
    <row r="16" spans="1:64" ht="12.75">
      <c r="A16" s="4" t="s">
        <v>9</v>
      </c>
      <c r="B16" s="13" t="s">
        <v>77</v>
      </c>
      <c r="C16" s="93" t="s">
        <v>144</v>
      </c>
      <c r="D16" s="94"/>
      <c r="E16" s="94"/>
      <c r="F16" s="13" t="s">
        <v>219</v>
      </c>
      <c r="G16" s="20">
        <v>36</v>
      </c>
      <c r="H16" s="20">
        <v>0</v>
      </c>
      <c r="I16" s="20">
        <f>G16*AO16</f>
        <v>0</v>
      </c>
      <c r="J16" s="20">
        <f>G16*AP16</f>
        <v>0</v>
      </c>
      <c r="K16" s="20">
        <f>G16*H16</f>
        <v>0</v>
      </c>
      <c r="L16" s="31" t="s">
        <v>239</v>
      </c>
      <c r="M16" s="35"/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37"/>
      <c r="AJ16" s="20">
        <f>IF(AN16=0,K16,0)</f>
        <v>0</v>
      </c>
      <c r="AK16" s="20">
        <f>IF(AN16=15,K16,0)</f>
        <v>0</v>
      </c>
      <c r="AL16" s="20">
        <f>IF(AN16=21,K16,0)</f>
        <v>0</v>
      </c>
      <c r="AN16" s="38">
        <v>21</v>
      </c>
      <c r="AO16" s="38">
        <f>H16*0.0866734645854577</f>
        <v>0</v>
      </c>
      <c r="AP16" s="38">
        <f>H16*(1-0.0866734645854577)</f>
        <v>0</v>
      </c>
      <c r="AQ16" s="39" t="s">
        <v>7</v>
      </c>
      <c r="AV16" s="38">
        <f>AW16+AX16</f>
        <v>0</v>
      </c>
      <c r="AW16" s="38">
        <f>G16*AO16</f>
        <v>0</v>
      </c>
      <c r="AX16" s="38">
        <f>G16*AP16</f>
        <v>0</v>
      </c>
      <c r="AY16" s="41" t="s">
        <v>250</v>
      </c>
      <c r="AZ16" s="41" t="s">
        <v>266</v>
      </c>
      <c r="BA16" s="37" t="s">
        <v>275</v>
      </c>
      <c r="BC16" s="38">
        <f>AW16+AX16</f>
        <v>0</v>
      </c>
      <c r="BD16" s="38">
        <f>H16/(100-BE16)*100</f>
        <v>0</v>
      </c>
      <c r="BE16" s="38">
        <v>0</v>
      </c>
      <c r="BF16" s="38">
        <f>16</f>
        <v>16</v>
      </c>
      <c r="BH16" s="20">
        <f>G16*AO16</f>
        <v>0</v>
      </c>
      <c r="BI16" s="20">
        <f>G16*AP16</f>
        <v>0</v>
      </c>
      <c r="BJ16" s="20">
        <f>G16*H16</f>
        <v>0</v>
      </c>
      <c r="BK16" s="20" t="s">
        <v>280</v>
      </c>
      <c r="BL16" s="38">
        <v>15</v>
      </c>
    </row>
    <row r="17" spans="1:47" ht="12.75">
      <c r="A17" s="5"/>
      <c r="B17" s="14" t="s">
        <v>34</v>
      </c>
      <c r="C17" s="95" t="s">
        <v>145</v>
      </c>
      <c r="D17" s="96"/>
      <c r="E17" s="96"/>
      <c r="F17" s="18" t="s">
        <v>6</v>
      </c>
      <c r="G17" s="18" t="s">
        <v>6</v>
      </c>
      <c r="H17" s="18" t="s">
        <v>6</v>
      </c>
      <c r="I17" s="44">
        <f>SUM(I18:I19)</f>
        <v>0</v>
      </c>
      <c r="J17" s="44">
        <f>SUM(J18:J19)</f>
        <v>0</v>
      </c>
      <c r="K17" s="44">
        <f>SUM(K18:K19)</f>
        <v>0</v>
      </c>
      <c r="L17" s="32"/>
      <c r="M17" s="35"/>
      <c r="AI17" s="37"/>
      <c r="AS17" s="44">
        <f>SUM(AJ18:AJ19)</f>
        <v>0</v>
      </c>
      <c r="AT17" s="44">
        <f>SUM(AK18:AK19)</f>
        <v>0</v>
      </c>
      <c r="AU17" s="44">
        <f>SUM(AL18:AL19)</f>
        <v>0</v>
      </c>
    </row>
    <row r="18" spans="1:64" ht="12.75">
      <c r="A18" s="4" t="s">
        <v>10</v>
      </c>
      <c r="B18" s="13" t="s">
        <v>78</v>
      </c>
      <c r="C18" s="93" t="s">
        <v>146</v>
      </c>
      <c r="D18" s="94"/>
      <c r="E18" s="94"/>
      <c r="F18" s="13" t="s">
        <v>220</v>
      </c>
      <c r="G18" s="20">
        <v>21.692</v>
      </c>
      <c r="H18" s="20">
        <v>0</v>
      </c>
      <c r="I18" s="20">
        <f>G18*AO18</f>
        <v>0</v>
      </c>
      <c r="J18" s="20">
        <f>G18*AP18</f>
        <v>0</v>
      </c>
      <c r="K18" s="20">
        <f>G18*H18</f>
        <v>0</v>
      </c>
      <c r="L18" s="31" t="s">
        <v>239</v>
      </c>
      <c r="M18" s="35"/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37"/>
      <c r="AJ18" s="20">
        <f>IF(AN18=0,K18,0)</f>
        <v>0</v>
      </c>
      <c r="AK18" s="20">
        <f>IF(AN18=15,K18,0)</f>
        <v>0</v>
      </c>
      <c r="AL18" s="20">
        <f>IF(AN18=21,K18,0)</f>
        <v>0</v>
      </c>
      <c r="AN18" s="38">
        <v>21</v>
      </c>
      <c r="AO18" s="38">
        <f>H18*0.29174217969327</f>
        <v>0</v>
      </c>
      <c r="AP18" s="38">
        <f>H18*(1-0.29174217969327)</f>
        <v>0</v>
      </c>
      <c r="AQ18" s="39" t="s">
        <v>7</v>
      </c>
      <c r="AV18" s="38">
        <f>AW18+AX18</f>
        <v>0</v>
      </c>
      <c r="AW18" s="38">
        <f>G18*AO18</f>
        <v>0</v>
      </c>
      <c r="AX18" s="38">
        <f>G18*AP18</f>
        <v>0</v>
      </c>
      <c r="AY18" s="41" t="s">
        <v>251</v>
      </c>
      <c r="AZ18" s="41" t="s">
        <v>267</v>
      </c>
      <c r="BA18" s="37" t="s">
        <v>275</v>
      </c>
      <c r="BC18" s="38">
        <f>AW18+AX18</f>
        <v>0</v>
      </c>
      <c r="BD18" s="38">
        <f>H18/(100-BE18)*100</f>
        <v>0</v>
      </c>
      <c r="BE18" s="38">
        <v>0</v>
      </c>
      <c r="BF18" s="38">
        <f>18</f>
        <v>18</v>
      </c>
      <c r="BH18" s="20">
        <f>G18*AO18</f>
        <v>0</v>
      </c>
      <c r="BI18" s="20">
        <f>G18*AP18</f>
        <v>0</v>
      </c>
      <c r="BJ18" s="20">
        <f>G18*H18</f>
        <v>0</v>
      </c>
      <c r="BK18" s="20" t="s">
        <v>280</v>
      </c>
      <c r="BL18" s="38">
        <v>28</v>
      </c>
    </row>
    <row r="19" spans="1:64" ht="12.75">
      <c r="A19" s="4" t="s">
        <v>11</v>
      </c>
      <c r="B19" s="13" t="s">
        <v>79</v>
      </c>
      <c r="C19" s="93" t="s">
        <v>147</v>
      </c>
      <c r="D19" s="94"/>
      <c r="E19" s="94"/>
      <c r="F19" s="13" t="s">
        <v>221</v>
      </c>
      <c r="G19" s="20">
        <v>0.49241</v>
      </c>
      <c r="H19" s="20">
        <v>0</v>
      </c>
      <c r="I19" s="20">
        <f>G19*AO19</f>
        <v>0</v>
      </c>
      <c r="J19" s="20">
        <f>G19*AP19</f>
        <v>0</v>
      </c>
      <c r="K19" s="20">
        <f>G19*H19</f>
        <v>0</v>
      </c>
      <c r="L19" s="31" t="s">
        <v>239</v>
      </c>
      <c r="M19" s="35"/>
      <c r="Z19" s="38">
        <f>IF(AQ19="5",BJ19,0)</f>
        <v>0</v>
      </c>
      <c r="AB19" s="38">
        <f>IF(AQ19="1",BH19,0)</f>
        <v>0</v>
      </c>
      <c r="AC19" s="38">
        <f>IF(AQ19="1",BI19,0)</f>
        <v>0</v>
      </c>
      <c r="AD19" s="38">
        <f>IF(AQ19="7",BH19,0)</f>
        <v>0</v>
      </c>
      <c r="AE19" s="38">
        <f>IF(AQ19="7",BI19,0)</f>
        <v>0</v>
      </c>
      <c r="AF19" s="38">
        <f>IF(AQ19="2",BH19,0)</f>
        <v>0</v>
      </c>
      <c r="AG19" s="38">
        <f>IF(AQ19="2",BI19,0)</f>
        <v>0</v>
      </c>
      <c r="AH19" s="38">
        <f>IF(AQ19="0",BJ19,0)</f>
        <v>0</v>
      </c>
      <c r="AI19" s="37"/>
      <c r="AJ19" s="20">
        <f>IF(AN19=0,K19,0)</f>
        <v>0</v>
      </c>
      <c r="AK19" s="20">
        <f>IF(AN19=15,K19,0)</f>
        <v>0</v>
      </c>
      <c r="AL19" s="20">
        <f>IF(AN19=21,K19,0)</f>
        <v>0</v>
      </c>
      <c r="AN19" s="38">
        <v>21</v>
      </c>
      <c r="AO19" s="38">
        <f>H19*0</f>
        <v>0</v>
      </c>
      <c r="AP19" s="38">
        <f>H19*(1-0)</f>
        <v>0</v>
      </c>
      <c r="AQ19" s="39" t="s">
        <v>11</v>
      </c>
      <c r="AV19" s="38">
        <f>AW19+AX19</f>
        <v>0</v>
      </c>
      <c r="AW19" s="38">
        <f>G19*AO19</f>
        <v>0</v>
      </c>
      <c r="AX19" s="38">
        <f>G19*AP19</f>
        <v>0</v>
      </c>
      <c r="AY19" s="41" t="s">
        <v>251</v>
      </c>
      <c r="AZ19" s="41" t="s">
        <v>267</v>
      </c>
      <c r="BA19" s="37" t="s">
        <v>275</v>
      </c>
      <c r="BC19" s="38">
        <f>AW19+AX19</f>
        <v>0</v>
      </c>
      <c r="BD19" s="38">
        <f>H19/(100-BE19)*100</f>
        <v>0</v>
      </c>
      <c r="BE19" s="38">
        <v>0</v>
      </c>
      <c r="BF19" s="38">
        <f>19</f>
        <v>19</v>
      </c>
      <c r="BH19" s="20">
        <f>G19*AO19</f>
        <v>0</v>
      </c>
      <c r="BI19" s="20">
        <f>G19*AP19</f>
        <v>0</v>
      </c>
      <c r="BJ19" s="20">
        <f>G19*H19</f>
        <v>0</v>
      </c>
      <c r="BK19" s="20" t="s">
        <v>280</v>
      </c>
      <c r="BL19" s="38">
        <v>28</v>
      </c>
    </row>
    <row r="20" spans="1:47" ht="12.75">
      <c r="A20" s="5"/>
      <c r="B20" s="14" t="s">
        <v>40</v>
      </c>
      <c r="C20" s="95" t="s">
        <v>148</v>
      </c>
      <c r="D20" s="96"/>
      <c r="E20" s="96"/>
      <c r="F20" s="18" t="s">
        <v>6</v>
      </c>
      <c r="G20" s="18" t="s">
        <v>6</v>
      </c>
      <c r="H20" s="18" t="s">
        <v>6</v>
      </c>
      <c r="I20" s="44">
        <f>SUM(I21:I25)</f>
        <v>0</v>
      </c>
      <c r="J20" s="44">
        <f>SUM(J21:J25)</f>
        <v>0</v>
      </c>
      <c r="K20" s="44">
        <f>SUM(K21:K25)</f>
        <v>0</v>
      </c>
      <c r="L20" s="32"/>
      <c r="M20" s="35"/>
      <c r="AI20" s="37"/>
      <c r="AS20" s="44">
        <f>SUM(AJ21:AJ25)</f>
        <v>0</v>
      </c>
      <c r="AT20" s="44">
        <f>SUM(AK21:AK25)</f>
        <v>0</v>
      </c>
      <c r="AU20" s="44">
        <f>SUM(AL21:AL25)</f>
        <v>0</v>
      </c>
    </row>
    <row r="21" spans="1:64" ht="12.75">
      <c r="A21" s="6" t="s">
        <v>12</v>
      </c>
      <c r="B21" s="15" t="s">
        <v>80</v>
      </c>
      <c r="C21" s="97" t="s">
        <v>149</v>
      </c>
      <c r="D21" s="98"/>
      <c r="E21" s="98"/>
      <c r="F21" s="15" t="s">
        <v>221</v>
      </c>
      <c r="G21" s="21">
        <v>0.4</v>
      </c>
      <c r="H21" s="21">
        <v>0</v>
      </c>
      <c r="I21" s="21">
        <f>G21*AO21</f>
        <v>0</v>
      </c>
      <c r="J21" s="21">
        <f>G21*AP21</f>
        <v>0</v>
      </c>
      <c r="K21" s="21">
        <f>G21*H21</f>
        <v>0</v>
      </c>
      <c r="L21" s="33" t="s">
        <v>239</v>
      </c>
      <c r="M21" s="35"/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37"/>
      <c r="AJ21" s="21">
        <f>IF(AN21=0,K21,0)</f>
        <v>0</v>
      </c>
      <c r="AK21" s="21">
        <f>IF(AN21=15,K21,0)</f>
        <v>0</v>
      </c>
      <c r="AL21" s="21">
        <f>IF(AN21=21,K21,0)</f>
        <v>0</v>
      </c>
      <c r="AN21" s="38">
        <v>21</v>
      </c>
      <c r="AO21" s="38">
        <f>H21*1</f>
        <v>0</v>
      </c>
      <c r="AP21" s="38">
        <f>H21*(1-1)</f>
        <v>0</v>
      </c>
      <c r="AQ21" s="40" t="s">
        <v>7</v>
      </c>
      <c r="AV21" s="38">
        <f>AW21+AX21</f>
        <v>0</v>
      </c>
      <c r="AW21" s="38">
        <f>G21*AO21</f>
        <v>0</v>
      </c>
      <c r="AX21" s="38">
        <f>G21*AP21</f>
        <v>0</v>
      </c>
      <c r="AY21" s="41" t="s">
        <v>252</v>
      </c>
      <c r="AZ21" s="41" t="s">
        <v>268</v>
      </c>
      <c r="BA21" s="37" t="s">
        <v>275</v>
      </c>
      <c r="BC21" s="38">
        <f>AW21+AX21</f>
        <v>0</v>
      </c>
      <c r="BD21" s="38">
        <f>H21/(100-BE21)*100</f>
        <v>0</v>
      </c>
      <c r="BE21" s="38">
        <v>0</v>
      </c>
      <c r="BF21" s="38">
        <f>21</f>
        <v>21</v>
      </c>
      <c r="BH21" s="21">
        <f>G21*AO21</f>
        <v>0</v>
      </c>
      <c r="BI21" s="21">
        <f>G21*AP21</f>
        <v>0</v>
      </c>
      <c r="BJ21" s="21">
        <f>G21*H21</f>
        <v>0</v>
      </c>
      <c r="BK21" s="21" t="s">
        <v>281</v>
      </c>
      <c r="BL21" s="38">
        <v>34</v>
      </c>
    </row>
    <row r="22" spans="1:64" ht="12.75">
      <c r="A22" s="4" t="s">
        <v>13</v>
      </c>
      <c r="B22" s="13" t="s">
        <v>81</v>
      </c>
      <c r="C22" s="93" t="s">
        <v>150</v>
      </c>
      <c r="D22" s="94"/>
      <c r="E22" s="94"/>
      <c r="F22" s="13" t="s">
        <v>219</v>
      </c>
      <c r="G22" s="20">
        <v>50.6088</v>
      </c>
      <c r="H22" s="20">
        <v>0</v>
      </c>
      <c r="I22" s="20">
        <f>G22*AO22</f>
        <v>0</v>
      </c>
      <c r="J22" s="20">
        <f>G22*AP22</f>
        <v>0</v>
      </c>
      <c r="K22" s="20">
        <f>G22*H22</f>
        <v>0</v>
      </c>
      <c r="L22" s="31" t="s">
        <v>239</v>
      </c>
      <c r="M22" s="35"/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37"/>
      <c r="AJ22" s="20">
        <f>IF(AN22=0,K22,0)</f>
        <v>0</v>
      </c>
      <c r="AK22" s="20">
        <f>IF(AN22=15,K22,0)</f>
        <v>0</v>
      </c>
      <c r="AL22" s="20">
        <f>IF(AN22=21,K22,0)</f>
        <v>0</v>
      </c>
      <c r="AN22" s="38">
        <v>21</v>
      </c>
      <c r="AO22" s="38">
        <f>H22*0.717085793984045</f>
        <v>0</v>
      </c>
      <c r="AP22" s="38">
        <f>H22*(1-0.717085793984045)</f>
        <v>0</v>
      </c>
      <c r="AQ22" s="39" t="s">
        <v>7</v>
      </c>
      <c r="AV22" s="38">
        <f>AW22+AX22</f>
        <v>0</v>
      </c>
      <c r="AW22" s="38">
        <f>G22*AO22</f>
        <v>0</v>
      </c>
      <c r="AX22" s="38">
        <f>G22*AP22</f>
        <v>0</v>
      </c>
      <c r="AY22" s="41" t="s">
        <v>252</v>
      </c>
      <c r="AZ22" s="41" t="s">
        <v>268</v>
      </c>
      <c r="BA22" s="37" t="s">
        <v>275</v>
      </c>
      <c r="BC22" s="38">
        <f>AW22+AX22</f>
        <v>0</v>
      </c>
      <c r="BD22" s="38">
        <f>H22/(100-BE22)*100</f>
        <v>0</v>
      </c>
      <c r="BE22" s="38">
        <v>0</v>
      </c>
      <c r="BF22" s="38">
        <f>22</f>
        <v>22</v>
      </c>
      <c r="BH22" s="20">
        <f>G22*AO22</f>
        <v>0</v>
      </c>
      <c r="BI22" s="20">
        <f>G22*AP22</f>
        <v>0</v>
      </c>
      <c r="BJ22" s="20">
        <f>G22*H22</f>
        <v>0</v>
      </c>
      <c r="BK22" s="20" t="s">
        <v>280</v>
      </c>
      <c r="BL22" s="38">
        <v>34</v>
      </c>
    </row>
    <row r="23" spans="1:64" ht="12.75">
      <c r="A23" s="4" t="s">
        <v>14</v>
      </c>
      <c r="B23" s="13" t="s">
        <v>82</v>
      </c>
      <c r="C23" s="93" t="s">
        <v>151</v>
      </c>
      <c r="D23" s="94"/>
      <c r="E23" s="94"/>
      <c r="F23" s="13" t="s">
        <v>219</v>
      </c>
      <c r="G23" s="20">
        <v>50.6</v>
      </c>
      <c r="H23" s="20">
        <v>0</v>
      </c>
      <c r="I23" s="20">
        <f>G23*AO23</f>
        <v>0</v>
      </c>
      <c r="J23" s="20">
        <f>G23*AP23</f>
        <v>0</v>
      </c>
      <c r="K23" s="20">
        <f>G23*H23</f>
        <v>0</v>
      </c>
      <c r="L23" s="31" t="s">
        <v>239</v>
      </c>
      <c r="M23" s="35"/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37"/>
      <c r="AJ23" s="20">
        <f>IF(AN23=0,K23,0)</f>
        <v>0</v>
      </c>
      <c r="AK23" s="20">
        <f>IF(AN23=15,K23,0)</f>
        <v>0</v>
      </c>
      <c r="AL23" s="20">
        <f>IF(AN23=21,K23,0)</f>
        <v>0</v>
      </c>
      <c r="AN23" s="38">
        <v>21</v>
      </c>
      <c r="AO23" s="38">
        <f>H23*0.263084112149533</f>
        <v>0</v>
      </c>
      <c r="AP23" s="38">
        <f>H23*(1-0.263084112149533)</f>
        <v>0</v>
      </c>
      <c r="AQ23" s="39" t="s">
        <v>7</v>
      </c>
      <c r="AV23" s="38">
        <f>AW23+AX23</f>
        <v>0</v>
      </c>
      <c r="AW23" s="38">
        <f>G23*AO23</f>
        <v>0</v>
      </c>
      <c r="AX23" s="38">
        <f>G23*AP23</f>
        <v>0</v>
      </c>
      <c r="AY23" s="41" t="s">
        <v>252</v>
      </c>
      <c r="AZ23" s="41" t="s">
        <v>268</v>
      </c>
      <c r="BA23" s="37" t="s">
        <v>275</v>
      </c>
      <c r="BC23" s="38">
        <f>AW23+AX23</f>
        <v>0</v>
      </c>
      <c r="BD23" s="38">
        <f>H23/(100-BE23)*100</f>
        <v>0</v>
      </c>
      <c r="BE23" s="38">
        <v>0</v>
      </c>
      <c r="BF23" s="38">
        <f>23</f>
        <v>23</v>
      </c>
      <c r="BH23" s="20">
        <f>G23*AO23</f>
        <v>0</v>
      </c>
      <c r="BI23" s="20">
        <f>G23*AP23</f>
        <v>0</v>
      </c>
      <c r="BJ23" s="20">
        <f>G23*H23</f>
        <v>0</v>
      </c>
      <c r="BK23" s="20" t="s">
        <v>280</v>
      </c>
      <c r="BL23" s="38">
        <v>34</v>
      </c>
    </row>
    <row r="24" spans="1:64" ht="12.75">
      <c r="A24" s="4" t="s">
        <v>15</v>
      </c>
      <c r="B24" s="13" t="s">
        <v>83</v>
      </c>
      <c r="C24" s="93" t="s">
        <v>152</v>
      </c>
      <c r="D24" s="94"/>
      <c r="E24" s="94"/>
      <c r="F24" s="13" t="s">
        <v>219</v>
      </c>
      <c r="G24" s="20">
        <v>50.6</v>
      </c>
      <c r="H24" s="20">
        <v>0</v>
      </c>
      <c r="I24" s="20">
        <f>G24*AO24</f>
        <v>0</v>
      </c>
      <c r="J24" s="20">
        <f>G24*AP24</f>
        <v>0</v>
      </c>
      <c r="K24" s="20">
        <f>G24*H24</f>
        <v>0</v>
      </c>
      <c r="L24" s="31" t="s">
        <v>239</v>
      </c>
      <c r="M24" s="35"/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37"/>
      <c r="AJ24" s="20">
        <f>IF(AN24=0,K24,0)</f>
        <v>0</v>
      </c>
      <c r="AK24" s="20">
        <f>IF(AN24=15,K24,0)</f>
        <v>0</v>
      </c>
      <c r="AL24" s="20">
        <f>IF(AN24=21,K24,0)</f>
        <v>0</v>
      </c>
      <c r="AN24" s="38">
        <v>21</v>
      </c>
      <c r="AO24" s="38">
        <f>H24*0.218173485516893</f>
        <v>0</v>
      </c>
      <c r="AP24" s="38">
        <f>H24*(1-0.218173485516893)</f>
        <v>0</v>
      </c>
      <c r="AQ24" s="39" t="s">
        <v>7</v>
      </c>
      <c r="AV24" s="38">
        <f>AW24+AX24</f>
        <v>0</v>
      </c>
      <c r="AW24" s="38">
        <f>G24*AO24</f>
        <v>0</v>
      </c>
      <c r="AX24" s="38">
        <f>G24*AP24</f>
        <v>0</v>
      </c>
      <c r="AY24" s="41" t="s">
        <v>252</v>
      </c>
      <c r="AZ24" s="41" t="s">
        <v>268</v>
      </c>
      <c r="BA24" s="37" t="s">
        <v>275</v>
      </c>
      <c r="BC24" s="38">
        <f>AW24+AX24</f>
        <v>0</v>
      </c>
      <c r="BD24" s="38">
        <f>H24/(100-BE24)*100</f>
        <v>0</v>
      </c>
      <c r="BE24" s="38">
        <v>0</v>
      </c>
      <c r="BF24" s="38">
        <f>24</f>
        <v>24</v>
      </c>
      <c r="BH24" s="20">
        <f>G24*AO24</f>
        <v>0</v>
      </c>
      <c r="BI24" s="20">
        <f>G24*AP24</f>
        <v>0</v>
      </c>
      <c r="BJ24" s="20">
        <f>G24*H24</f>
        <v>0</v>
      </c>
      <c r="BK24" s="20" t="s">
        <v>280</v>
      </c>
      <c r="BL24" s="38">
        <v>34</v>
      </c>
    </row>
    <row r="25" spans="1:64" ht="12.75">
      <c r="A25" s="4" t="s">
        <v>16</v>
      </c>
      <c r="B25" s="13" t="s">
        <v>79</v>
      </c>
      <c r="C25" s="93" t="s">
        <v>147</v>
      </c>
      <c r="D25" s="94"/>
      <c r="E25" s="94"/>
      <c r="F25" s="13" t="s">
        <v>221</v>
      </c>
      <c r="G25" s="20">
        <v>5.15419</v>
      </c>
      <c r="H25" s="20">
        <v>0</v>
      </c>
      <c r="I25" s="20">
        <f>G25*AO25</f>
        <v>0</v>
      </c>
      <c r="J25" s="20">
        <f>G25*AP25</f>
        <v>0</v>
      </c>
      <c r="K25" s="20">
        <f>G25*H25</f>
        <v>0</v>
      </c>
      <c r="L25" s="31" t="s">
        <v>239</v>
      </c>
      <c r="M25" s="35"/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37"/>
      <c r="AJ25" s="20">
        <f>IF(AN25=0,K25,0)</f>
        <v>0</v>
      </c>
      <c r="AK25" s="20">
        <f>IF(AN25=15,K25,0)</f>
        <v>0</v>
      </c>
      <c r="AL25" s="20">
        <f>IF(AN25=21,K25,0)</f>
        <v>0</v>
      </c>
      <c r="AN25" s="38">
        <v>21</v>
      </c>
      <c r="AO25" s="38">
        <f>H25*0</f>
        <v>0</v>
      </c>
      <c r="AP25" s="38">
        <f>H25*(1-0)</f>
        <v>0</v>
      </c>
      <c r="AQ25" s="39" t="s">
        <v>11</v>
      </c>
      <c r="AV25" s="38">
        <f>AW25+AX25</f>
        <v>0</v>
      </c>
      <c r="AW25" s="38">
        <f>G25*AO25</f>
        <v>0</v>
      </c>
      <c r="AX25" s="38">
        <f>G25*AP25</f>
        <v>0</v>
      </c>
      <c r="AY25" s="41" t="s">
        <v>252</v>
      </c>
      <c r="AZ25" s="41" t="s">
        <v>268</v>
      </c>
      <c r="BA25" s="37" t="s">
        <v>275</v>
      </c>
      <c r="BC25" s="38">
        <f>AW25+AX25</f>
        <v>0</v>
      </c>
      <c r="BD25" s="38">
        <f>H25/(100-BE25)*100</f>
        <v>0</v>
      </c>
      <c r="BE25" s="38">
        <v>0</v>
      </c>
      <c r="BF25" s="38">
        <f>25</f>
        <v>25</v>
      </c>
      <c r="BH25" s="20">
        <f>G25*AO25</f>
        <v>0</v>
      </c>
      <c r="BI25" s="20">
        <f>G25*AP25</f>
        <v>0</v>
      </c>
      <c r="BJ25" s="20">
        <f>G25*H25</f>
        <v>0</v>
      </c>
      <c r="BK25" s="20" t="s">
        <v>280</v>
      </c>
      <c r="BL25" s="38">
        <v>34</v>
      </c>
    </row>
    <row r="26" spans="1:47" ht="12.75">
      <c r="A26" s="5"/>
      <c r="B26" s="14" t="s">
        <v>62</v>
      </c>
      <c r="C26" s="95" t="s">
        <v>153</v>
      </c>
      <c r="D26" s="96"/>
      <c r="E26" s="96"/>
      <c r="F26" s="18" t="s">
        <v>6</v>
      </c>
      <c r="G26" s="18" t="s">
        <v>6</v>
      </c>
      <c r="H26" s="18" t="s">
        <v>6</v>
      </c>
      <c r="I26" s="44">
        <f>SUM(I27:I28)</f>
        <v>0</v>
      </c>
      <c r="J26" s="44">
        <f>SUM(J27:J28)</f>
        <v>0</v>
      </c>
      <c r="K26" s="44">
        <f>SUM(K27:K28)</f>
        <v>0</v>
      </c>
      <c r="L26" s="32"/>
      <c r="M26" s="35"/>
      <c r="AI26" s="37"/>
      <c r="AS26" s="44">
        <f>SUM(AJ27:AJ28)</f>
        <v>0</v>
      </c>
      <c r="AT26" s="44">
        <f>SUM(AK27:AK28)</f>
        <v>0</v>
      </c>
      <c r="AU26" s="44">
        <f>SUM(AL27:AL28)</f>
        <v>0</v>
      </c>
    </row>
    <row r="27" spans="1:64" ht="12.75">
      <c r="A27" s="4" t="s">
        <v>17</v>
      </c>
      <c r="B27" s="13" t="s">
        <v>84</v>
      </c>
      <c r="C27" s="93" t="s">
        <v>154</v>
      </c>
      <c r="D27" s="94"/>
      <c r="E27" s="94"/>
      <c r="F27" s="13" t="s">
        <v>219</v>
      </c>
      <c r="G27" s="20">
        <v>33.1359</v>
      </c>
      <c r="H27" s="20">
        <v>0</v>
      </c>
      <c r="I27" s="20">
        <f>G27*AO27</f>
        <v>0</v>
      </c>
      <c r="J27" s="20">
        <f>G27*AP27</f>
        <v>0</v>
      </c>
      <c r="K27" s="20">
        <f>G27*H27</f>
        <v>0</v>
      </c>
      <c r="L27" s="31" t="s">
        <v>239</v>
      </c>
      <c r="M27" s="35"/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37"/>
      <c r="AJ27" s="20">
        <f>IF(AN27=0,K27,0)</f>
        <v>0</v>
      </c>
      <c r="AK27" s="20">
        <f>IF(AN27=15,K27,0)</f>
        <v>0</v>
      </c>
      <c r="AL27" s="20">
        <f>IF(AN27=21,K27,0)</f>
        <v>0</v>
      </c>
      <c r="AN27" s="38">
        <v>21</v>
      </c>
      <c r="AO27" s="38">
        <f>H27*0.841713922830386</f>
        <v>0</v>
      </c>
      <c r="AP27" s="38">
        <f>H27*(1-0.841713922830386)</f>
        <v>0</v>
      </c>
      <c r="AQ27" s="39" t="s">
        <v>7</v>
      </c>
      <c r="AV27" s="38">
        <f>AW27+AX27</f>
        <v>0</v>
      </c>
      <c r="AW27" s="38">
        <f>G27*AO27</f>
        <v>0</v>
      </c>
      <c r="AX27" s="38">
        <f>G27*AP27</f>
        <v>0</v>
      </c>
      <c r="AY27" s="41" t="s">
        <v>253</v>
      </c>
      <c r="AZ27" s="41" t="s">
        <v>269</v>
      </c>
      <c r="BA27" s="37" t="s">
        <v>275</v>
      </c>
      <c r="BC27" s="38">
        <f>AW27+AX27</f>
        <v>0</v>
      </c>
      <c r="BD27" s="38">
        <f>H27/(100-BE27)*100</f>
        <v>0</v>
      </c>
      <c r="BE27" s="38">
        <v>0</v>
      </c>
      <c r="BF27" s="38">
        <f>27</f>
        <v>27</v>
      </c>
      <c r="BH27" s="20">
        <f>G27*AO27</f>
        <v>0</v>
      </c>
      <c r="BI27" s="20">
        <f>G27*AP27</f>
        <v>0</v>
      </c>
      <c r="BJ27" s="20">
        <f>G27*H27</f>
        <v>0</v>
      </c>
      <c r="BK27" s="20" t="s">
        <v>280</v>
      </c>
      <c r="BL27" s="38">
        <v>56</v>
      </c>
    </row>
    <row r="28" spans="1:64" ht="12.75">
      <c r="A28" s="4" t="s">
        <v>18</v>
      </c>
      <c r="B28" s="13" t="s">
        <v>79</v>
      </c>
      <c r="C28" s="93" t="s">
        <v>147</v>
      </c>
      <c r="D28" s="94"/>
      <c r="E28" s="94"/>
      <c r="F28" s="13" t="s">
        <v>221</v>
      </c>
      <c r="G28" s="20">
        <v>19.916</v>
      </c>
      <c r="H28" s="20">
        <v>0</v>
      </c>
      <c r="I28" s="20">
        <f>G28*AO28</f>
        <v>0</v>
      </c>
      <c r="J28" s="20">
        <f>G28*AP28</f>
        <v>0</v>
      </c>
      <c r="K28" s="20">
        <f>G28*H28</f>
        <v>0</v>
      </c>
      <c r="L28" s="31" t="s">
        <v>239</v>
      </c>
      <c r="M28" s="35"/>
      <c r="Z28" s="38">
        <f>IF(AQ28="5",BJ28,0)</f>
        <v>0</v>
      </c>
      <c r="AB28" s="38">
        <f>IF(AQ28="1",BH28,0)</f>
        <v>0</v>
      </c>
      <c r="AC28" s="38">
        <f>IF(AQ28="1",BI28,0)</f>
        <v>0</v>
      </c>
      <c r="AD28" s="38">
        <f>IF(AQ28="7",BH28,0)</f>
        <v>0</v>
      </c>
      <c r="AE28" s="38">
        <f>IF(AQ28="7",BI28,0)</f>
        <v>0</v>
      </c>
      <c r="AF28" s="38">
        <f>IF(AQ28="2",BH28,0)</f>
        <v>0</v>
      </c>
      <c r="AG28" s="38">
        <f>IF(AQ28="2",BI28,0)</f>
        <v>0</v>
      </c>
      <c r="AH28" s="38">
        <f>IF(AQ28="0",BJ28,0)</f>
        <v>0</v>
      </c>
      <c r="AI28" s="37"/>
      <c r="AJ28" s="20">
        <f>IF(AN28=0,K28,0)</f>
        <v>0</v>
      </c>
      <c r="AK28" s="20">
        <f>IF(AN28=15,K28,0)</f>
        <v>0</v>
      </c>
      <c r="AL28" s="20">
        <f>IF(AN28=21,K28,0)</f>
        <v>0</v>
      </c>
      <c r="AN28" s="38">
        <v>21</v>
      </c>
      <c r="AO28" s="38">
        <f>H28*0</f>
        <v>0</v>
      </c>
      <c r="AP28" s="38">
        <f>H28*(1-0)</f>
        <v>0</v>
      </c>
      <c r="AQ28" s="39" t="s">
        <v>11</v>
      </c>
      <c r="AV28" s="38">
        <f>AW28+AX28</f>
        <v>0</v>
      </c>
      <c r="AW28" s="38">
        <f>G28*AO28</f>
        <v>0</v>
      </c>
      <c r="AX28" s="38">
        <f>G28*AP28</f>
        <v>0</v>
      </c>
      <c r="AY28" s="41" t="s">
        <v>253</v>
      </c>
      <c r="AZ28" s="41" t="s">
        <v>269</v>
      </c>
      <c r="BA28" s="37" t="s">
        <v>275</v>
      </c>
      <c r="BC28" s="38">
        <f>AW28+AX28</f>
        <v>0</v>
      </c>
      <c r="BD28" s="38">
        <f>H28/(100-BE28)*100</f>
        <v>0</v>
      </c>
      <c r="BE28" s="38">
        <v>0</v>
      </c>
      <c r="BF28" s="38">
        <f>28</f>
        <v>28</v>
      </c>
      <c r="BH28" s="20">
        <f>G28*AO28</f>
        <v>0</v>
      </c>
      <c r="BI28" s="20">
        <f>G28*AP28</f>
        <v>0</v>
      </c>
      <c r="BJ28" s="20">
        <f>G28*H28</f>
        <v>0</v>
      </c>
      <c r="BK28" s="20" t="s">
        <v>280</v>
      </c>
      <c r="BL28" s="38">
        <v>56</v>
      </c>
    </row>
    <row r="29" spans="1:47" ht="12.75">
      <c r="A29" s="5"/>
      <c r="B29" s="14" t="s">
        <v>63</v>
      </c>
      <c r="C29" s="95" t="s">
        <v>155</v>
      </c>
      <c r="D29" s="96"/>
      <c r="E29" s="96"/>
      <c r="F29" s="18" t="s">
        <v>6</v>
      </c>
      <c r="G29" s="18" t="s">
        <v>6</v>
      </c>
      <c r="H29" s="18" t="s">
        <v>6</v>
      </c>
      <c r="I29" s="44">
        <f>SUM(I30:I31)</f>
        <v>0</v>
      </c>
      <c r="J29" s="44">
        <f>SUM(J30:J31)</f>
        <v>0</v>
      </c>
      <c r="K29" s="44">
        <f>SUM(K30:K31)</f>
        <v>0</v>
      </c>
      <c r="L29" s="32"/>
      <c r="M29" s="35"/>
      <c r="AI29" s="37"/>
      <c r="AS29" s="44">
        <f>SUM(AJ30:AJ31)</f>
        <v>0</v>
      </c>
      <c r="AT29" s="44">
        <f>SUM(AK30:AK31)</f>
        <v>0</v>
      </c>
      <c r="AU29" s="44">
        <f>SUM(AL30:AL31)</f>
        <v>0</v>
      </c>
    </row>
    <row r="30" spans="1:64" ht="12.75">
      <c r="A30" s="4" t="s">
        <v>19</v>
      </c>
      <c r="B30" s="13" t="s">
        <v>85</v>
      </c>
      <c r="C30" s="93" t="s">
        <v>156</v>
      </c>
      <c r="D30" s="94"/>
      <c r="E30" s="94"/>
      <c r="F30" s="13" t="s">
        <v>219</v>
      </c>
      <c r="G30" s="20">
        <v>1.4</v>
      </c>
      <c r="H30" s="20">
        <v>0</v>
      </c>
      <c r="I30" s="20">
        <f>G30*AO30</f>
        <v>0</v>
      </c>
      <c r="J30" s="20">
        <f>G30*AP30</f>
        <v>0</v>
      </c>
      <c r="K30" s="20">
        <f>G30*H30</f>
        <v>0</v>
      </c>
      <c r="L30" s="31" t="s">
        <v>239</v>
      </c>
      <c r="M30" s="35"/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37"/>
      <c r="AJ30" s="20">
        <f>IF(AN30=0,K30,0)</f>
        <v>0</v>
      </c>
      <c r="AK30" s="20">
        <f>IF(AN30=15,K30,0)</f>
        <v>0</v>
      </c>
      <c r="AL30" s="20">
        <f>IF(AN30=21,K30,0)</f>
        <v>0</v>
      </c>
      <c r="AN30" s="38">
        <v>21</v>
      </c>
      <c r="AO30" s="38">
        <f>H30*0.737318073387119</f>
        <v>0</v>
      </c>
      <c r="AP30" s="38">
        <f>H30*(1-0.737318073387119)</f>
        <v>0</v>
      </c>
      <c r="AQ30" s="39" t="s">
        <v>7</v>
      </c>
      <c r="AV30" s="38">
        <f>AW30+AX30</f>
        <v>0</v>
      </c>
      <c r="AW30" s="38">
        <f>G30*AO30</f>
        <v>0</v>
      </c>
      <c r="AX30" s="38">
        <f>G30*AP30</f>
        <v>0</v>
      </c>
      <c r="AY30" s="41" t="s">
        <v>254</v>
      </c>
      <c r="AZ30" s="41" t="s">
        <v>269</v>
      </c>
      <c r="BA30" s="37" t="s">
        <v>275</v>
      </c>
      <c r="BC30" s="38">
        <f>AW30+AX30</f>
        <v>0</v>
      </c>
      <c r="BD30" s="38">
        <f>H30/(100-BE30)*100</f>
        <v>0</v>
      </c>
      <c r="BE30" s="38">
        <v>0</v>
      </c>
      <c r="BF30" s="38">
        <f>30</f>
        <v>30</v>
      </c>
      <c r="BH30" s="20">
        <f>G30*AO30</f>
        <v>0</v>
      </c>
      <c r="BI30" s="20">
        <f>G30*AP30</f>
        <v>0</v>
      </c>
      <c r="BJ30" s="20">
        <f>G30*H30</f>
        <v>0</v>
      </c>
      <c r="BK30" s="20" t="s">
        <v>280</v>
      </c>
      <c r="BL30" s="38">
        <v>57</v>
      </c>
    </row>
    <row r="31" spans="1:64" ht="12.75">
      <c r="A31" s="4" t="s">
        <v>20</v>
      </c>
      <c r="B31" s="13" t="s">
        <v>86</v>
      </c>
      <c r="C31" s="93" t="s">
        <v>157</v>
      </c>
      <c r="D31" s="94"/>
      <c r="E31" s="94"/>
      <c r="F31" s="13" t="s">
        <v>219</v>
      </c>
      <c r="G31" s="20">
        <v>1.4</v>
      </c>
      <c r="H31" s="20">
        <v>0</v>
      </c>
      <c r="I31" s="20">
        <f>G31*AO31</f>
        <v>0</v>
      </c>
      <c r="J31" s="20">
        <f>G31*AP31</f>
        <v>0</v>
      </c>
      <c r="K31" s="20">
        <f>G31*H31</f>
        <v>0</v>
      </c>
      <c r="L31" s="31" t="s">
        <v>239</v>
      </c>
      <c r="M31" s="35"/>
      <c r="Z31" s="38">
        <f>IF(AQ31="5",BJ31,0)</f>
        <v>0</v>
      </c>
      <c r="AB31" s="38">
        <f>IF(AQ31="1",BH31,0)</f>
        <v>0</v>
      </c>
      <c r="AC31" s="38">
        <f>IF(AQ31="1",BI31,0)</f>
        <v>0</v>
      </c>
      <c r="AD31" s="38">
        <f>IF(AQ31="7",BH31,0)</f>
        <v>0</v>
      </c>
      <c r="AE31" s="38">
        <f>IF(AQ31="7",BI31,0)</f>
        <v>0</v>
      </c>
      <c r="AF31" s="38">
        <f>IF(AQ31="2",BH31,0)</f>
        <v>0</v>
      </c>
      <c r="AG31" s="38">
        <f>IF(AQ31="2",BI31,0)</f>
        <v>0</v>
      </c>
      <c r="AH31" s="38">
        <f>IF(AQ31="0",BJ31,0)</f>
        <v>0</v>
      </c>
      <c r="AI31" s="37"/>
      <c r="AJ31" s="20">
        <f>IF(AN31=0,K31,0)</f>
        <v>0</v>
      </c>
      <c r="AK31" s="20">
        <f>IF(AN31=15,K31,0)</f>
        <v>0</v>
      </c>
      <c r="AL31" s="20">
        <f>IF(AN31=21,K31,0)</f>
        <v>0</v>
      </c>
      <c r="AN31" s="38">
        <v>21</v>
      </c>
      <c r="AO31" s="38">
        <f>H31*0.809369592088999</f>
        <v>0</v>
      </c>
      <c r="AP31" s="38">
        <f>H31*(1-0.809369592088999)</f>
        <v>0</v>
      </c>
      <c r="AQ31" s="39" t="s">
        <v>7</v>
      </c>
      <c r="AV31" s="38">
        <f>AW31+AX31</f>
        <v>0</v>
      </c>
      <c r="AW31" s="38">
        <f>G31*AO31</f>
        <v>0</v>
      </c>
      <c r="AX31" s="38">
        <f>G31*AP31</f>
        <v>0</v>
      </c>
      <c r="AY31" s="41" t="s">
        <v>254</v>
      </c>
      <c r="AZ31" s="41" t="s">
        <v>269</v>
      </c>
      <c r="BA31" s="37" t="s">
        <v>275</v>
      </c>
      <c r="BC31" s="38">
        <f>AW31+AX31</f>
        <v>0</v>
      </c>
      <c r="BD31" s="38">
        <f>H31/(100-BE31)*100</f>
        <v>0</v>
      </c>
      <c r="BE31" s="38">
        <v>0</v>
      </c>
      <c r="BF31" s="38">
        <f>31</f>
        <v>31</v>
      </c>
      <c r="BH31" s="20">
        <f>G31*AO31</f>
        <v>0</v>
      </c>
      <c r="BI31" s="20">
        <f>G31*AP31</f>
        <v>0</v>
      </c>
      <c r="BJ31" s="20">
        <f>G31*H31</f>
        <v>0</v>
      </c>
      <c r="BK31" s="20" t="s">
        <v>280</v>
      </c>
      <c r="BL31" s="38">
        <v>57</v>
      </c>
    </row>
    <row r="32" spans="1:47" ht="12.75">
      <c r="A32" s="5"/>
      <c r="B32" s="14" t="s">
        <v>65</v>
      </c>
      <c r="C32" s="95" t="s">
        <v>158</v>
      </c>
      <c r="D32" s="96"/>
      <c r="E32" s="96"/>
      <c r="F32" s="18" t="s">
        <v>6</v>
      </c>
      <c r="G32" s="18" t="s">
        <v>6</v>
      </c>
      <c r="H32" s="18" t="s">
        <v>6</v>
      </c>
      <c r="I32" s="44">
        <f>SUM(I33:I33)</f>
        <v>0</v>
      </c>
      <c r="J32" s="44">
        <f>SUM(J33:J33)</f>
        <v>0</v>
      </c>
      <c r="K32" s="44">
        <f>SUM(K33:K33)</f>
        <v>0</v>
      </c>
      <c r="L32" s="32"/>
      <c r="M32" s="35"/>
      <c r="AI32" s="37"/>
      <c r="AS32" s="44">
        <f>SUM(AJ33:AJ33)</f>
        <v>0</v>
      </c>
      <c r="AT32" s="44">
        <f>SUM(AK33:AK33)</f>
        <v>0</v>
      </c>
      <c r="AU32" s="44">
        <f>SUM(AL33:AL33)</f>
        <v>0</v>
      </c>
    </row>
    <row r="33" spans="1:64" ht="12.75">
      <c r="A33" s="4" t="s">
        <v>21</v>
      </c>
      <c r="B33" s="13" t="s">
        <v>87</v>
      </c>
      <c r="C33" s="93" t="s">
        <v>159</v>
      </c>
      <c r="D33" s="94"/>
      <c r="E33" s="94"/>
      <c r="F33" s="13" t="s">
        <v>219</v>
      </c>
      <c r="G33" s="20">
        <v>8.925</v>
      </c>
      <c r="H33" s="20">
        <v>0</v>
      </c>
      <c r="I33" s="20">
        <f>G33*AO33</f>
        <v>0</v>
      </c>
      <c r="J33" s="20">
        <f>G33*AP33</f>
        <v>0</v>
      </c>
      <c r="K33" s="20">
        <f>G33*H33</f>
        <v>0</v>
      </c>
      <c r="L33" s="31" t="s">
        <v>239</v>
      </c>
      <c r="M33" s="35"/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37"/>
      <c r="AJ33" s="20">
        <f>IF(AN33=0,K33,0)</f>
        <v>0</v>
      </c>
      <c r="AK33" s="20">
        <f>IF(AN33=15,K33,0)</f>
        <v>0</v>
      </c>
      <c r="AL33" s="20">
        <f>IF(AN33=21,K33,0)</f>
        <v>0</v>
      </c>
      <c r="AN33" s="38">
        <v>21</v>
      </c>
      <c r="AO33" s="38">
        <f>H33*0.610769912479681</f>
        <v>0</v>
      </c>
      <c r="AP33" s="38">
        <f>H33*(1-0.610769912479681)</f>
        <v>0</v>
      </c>
      <c r="AQ33" s="39" t="s">
        <v>7</v>
      </c>
      <c r="AV33" s="38">
        <f>AW33+AX33</f>
        <v>0</v>
      </c>
      <c r="AW33" s="38">
        <f>G33*AO33</f>
        <v>0</v>
      </c>
      <c r="AX33" s="38">
        <f>G33*AP33</f>
        <v>0</v>
      </c>
      <c r="AY33" s="41" t="s">
        <v>255</v>
      </c>
      <c r="AZ33" s="41" t="s">
        <v>269</v>
      </c>
      <c r="BA33" s="37" t="s">
        <v>275</v>
      </c>
      <c r="BC33" s="38">
        <f>AW33+AX33</f>
        <v>0</v>
      </c>
      <c r="BD33" s="38">
        <f>H33/(100-BE33)*100</f>
        <v>0</v>
      </c>
      <c r="BE33" s="38">
        <v>0</v>
      </c>
      <c r="BF33" s="38">
        <f>33</f>
        <v>33</v>
      </c>
      <c r="BH33" s="20">
        <f>G33*AO33</f>
        <v>0</v>
      </c>
      <c r="BI33" s="20">
        <f>G33*AP33</f>
        <v>0</v>
      </c>
      <c r="BJ33" s="20">
        <f>G33*H33</f>
        <v>0</v>
      </c>
      <c r="BK33" s="20" t="s">
        <v>280</v>
      </c>
      <c r="BL33" s="38">
        <v>59</v>
      </c>
    </row>
    <row r="34" spans="1:47" ht="12.75">
      <c r="A34" s="5"/>
      <c r="B34" s="14" t="s">
        <v>69</v>
      </c>
      <c r="C34" s="95" t="s">
        <v>160</v>
      </c>
      <c r="D34" s="96"/>
      <c r="E34" s="96"/>
      <c r="F34" s="18" t="s">
        <v>6</v>
      </c>
      <c r="G34" s="18" t="s">
        <v>6</v>
      </c>
      <c r="H34" s="18" t="s">
        <v>6</v>
      </c>
      <c r="I34" s="44">
        <f>SUM(I35:I38)</f>
        <v>0</v>
      </c>
      <c r="J34" s="44">
        <f>SUM(J35:J38)</f>
        <v>0</v>
      </c>
      <c r="K34" s="44">
        <f>SUM(K35:K38)</f>
        <v>0</v>
      </c>
      <c r="L34" s="32"/>
      <c r="M34" s="35"/>
      <c r="AI34" s="37"/>
      <c r="AS34" s="44">
        <f>SUM(AJ35:AJ38)</f>
        <v>0</v>
      </c>
      <c r="AT34" s="44">
        <f>SUM(AK35:AK38)</f>
        <v>0</v>
      </c>
      <c r="AU34" s="44">
        <f>SUM(AL35:AL38)</f>
        <v>0</v>
      </c>
    </row>
    <row r="35" spans="1:64" ht="12.75">
      <c r="A35" s="4" t="s">
        <v>22</v>
      </c>
      <c r="B35" s="13" t="s">
        <v>88</v>
      </c>
      <c r="C35" s="93" t="s">
        <v>161</v>
      </c>
      <c r="D35" s="94"/>
      <c r="E35" s="94"/>
      <c r="F35" s="13" t="s">
        <v>222</v>
      </c>
      <c r="G35" s="20">
        <v>2.42997</v>
      </c>
      <c r="H35" s="20">
        <v>0</v>
      </c>
      <c r="I35" s="20">
        <f>G35*AO35</f>
        <v>0</v>
      </c>
      <c r="J35" s="20">
        <f>G35*AP35</f>
        <v>0</v>
      </c>
      <c r="K35" s="20">
        <f>G35*H35</f>
        <v>0</v>
      </c>
      <c r="L35" s="31" t="s">
        <v>239</v>
      </c>
      <c r="M35" s="35"/>
      <c r="Z35" s="38">
        <f>IF(AQ35="5",BJ35,0)</f>
        <v>0</v>
      </c>
      <c r="AB35" s="38">
        <f>IF(AQ35="1",BH35,0)</f>
        <v>0</v>
      </c>
      <c r="AC35" s="38">
        <f>IF(AQ35="1",BI35,0)</f>
        <v>0</v>
      </c>
      <c r="AD35" s="38">
        <f>IF(AQ35="7",BH35,0)</f>
        <v>0</v>
      </c>
      <c r="AE35" s="38">
        <f>IF(AQ35="7",BI35,0)</f>
        <v>0</v>
      </c>
      <c r="AF35" s="38">
        <f>IF(AQ35="2",BH35,0)</f>
        <v>0</v>
      </c>
      <c r="AG35" s="38">
        <f>IF(AQ35="2",BI35,0)</f>
        <v>0</v>
      </c>
      <c r="AH35" s="38">
        <f>IF(AQ35="0",BJ35,0)</f>
        <v>0</v>
      </c>
      <c r="AI35" s="37"/>
      <c r="AJ35" s="20">
        <f>IF(AN35=0,K35,0)</f>
        <v>0</v>
      </c>
      <c r="AK35" s="20">
        <f>IF(AN35=15,K35,0)</f>
        <v>0</v>
      </c>
      <c r="AL35" s="20">
        <f>IF(AN35=21,K35,0)</f>
        <v>0</v>
      </c>
      <c r="AN35" s="38">
        <v>21</v>
      </c>
      <c r="AO35" s="38">
        <f>H35*0.65266658329853</f>
        <v>0</v>
      </c>
      <c r="AP35" s="38">
        <f>H35*(1-0.65266658329853)</f>
        <v>0</v>
      </c>
      <c r="AQ35" s="39" t="s">
        <v>7</v>
      </c>
      <c r="AV35" s="38">
        <f>AW35+AX35</f>
        <v>0</v>
      </c>
      <c r="AW35" s="38">
        <f>G35*AO35</f>
        <v>0</v>
      </c>
      <c r="AX35" s="38">
        <f>G35*AP35</f>
        <v>0</v>
      </c>
      <c r="AY35" s="41" t="s">
        <v>256</v>
      </c>
      <c r="AZ35" s="41" t="s">
        <v>270</v>
      </c>
      <c r="BA35" s="37" t="s">
        <v>275</v>
      </c>
      <c r="BC35" s="38">
        <f>AW35+AX35</f>
        <v>0</v>
      </c>
      <c r="BD35" s="38">
        <f>H35/(100-BE35)*100</f>
        <v>0</v>
      </c>
      <c r="BE35" s="38">
        <v>0</v>
      </c>
      <c r="BF35" s="38">
        <f>35</f>
        <v>35</v>
      </c>
      <c r="BH35" s="20">
        <f>G35*AO35</f>
        <v>0</v>
      </c>
      <c r="BI35" s="20">
        <f>G35*AP35</f>
        <v>0</v>
      </c>
      <c r="BJ35" s="20">
        <f>G35*H35</f>
        <v>0</v>
      </c>
      <c r="BK35" s="20" t="s">
        <v>280</v>
      </c>
      <c r="BL35" s="38">
        <v>63</v>
      </c>
    </row>
    <row r="36" spans="1:64" ht="12.75">
      <c r="A36" s="4" t="s">
        <v>23</v>
      </c>
      <c r="B36" s="13" t="s">
        <v>89</v>
      </c>
      <c r="C36" s="93" t="s">
        <v>162</v>
      </c>
      <c r="D36" s="94"/>
      <c r="E36" s="94"/>
      <c r="F36" s="13" t="s">
        <v>222</v>
      </c>
      <c r="G36" s="20">
        <v>3.47138</v>
      </c>
      <c r="H36" s="20">
        <v>0</v>
      </c>
      <c r="I36" s="20">
        <f>G36*AO36</f>
        <v>0</v>
      </c>
      <c r="J36" s="20">
        <f>G36*AP36</f>
        <v>0</v>
      </c>
      <c r="K36" s="20">
        <f>G36*H36</f>
        <v>0</v>
      </c>
      <c r="L36" s="31" t="s">
        <v>239</v>
      </c>
      <c r="M36" s="35"/>
      <c r="Z36" s="38">
        <f>IF(AQ36="5",BJ36,0)</f>
        <v>0</v>
      </c>
      <c r="AB36" s="38">
        <f>IF(AQ36="1",BH36,0)</f>
        <v>0</v>
      </c>
      <c r="AC36" s="38">
        <f>IF(AQ36="1",BI36,0)</f>
        <v>0</v>
      </c>
      <c r="AD36" s="38">
        <f>IF(AQ36="7",BH36,0)</f>
        <v>0</v>
      </c>
      <c r="AE36" s="38">
        <f>IF(AQ36="7",BI36,0)</f>
        <v>0</v>
      </c>
      <c r="AF36" s="38">
        <f>IF(AQ36="2",BH36,0)</f>
        <v>0</v>
      </c>
      <c r="AG36" s="38">
        <f>IF(AQ36="2",BI36,0)</f>
        <v>0</v>
      </c>
      <c r="AH36" s="38">
        <f>IF(AQ36="0",BJ36,0)</f>
        <v>0</v>
      </c>
      <c r="AI36" s="37"/>
      <c r="AJ36" s="20">
        <f>IF(AN36=0,K36,0)</f>
        <v>0</v>
      </c>
      <c r="AK36" s="20">
        <f>IF(AN36=15,K36,0)</f>
        <v>0</v>
      </c>
      <c r="AL36" s="20">
        <f>IF(AN36=21,K36,0)</f>
        <v>0</v>
      </c>
      <c r="AN36" s="38">
        <v>21</v>
      </c>
      <c r="AO36" s="38">
        <f>H36*0.705198847534907</f>
        <v>0</v>
      </c>
      <c r="AP36" s="38">
        <f>H36*(1-0.705198847534907)</f>
        <v>0</v>
      </c>
      <c r="AQ36" s="39" t="s">
        <v>7</v>
      </c>
      <c r="AV36" s="38">
        <f>AW36+AX36</f>
        <v>0</v>
      </c>
      <c r="AW36" s="38">
        <f>G36*AO36</f>
        <v>0</v>
      </c>
      <c r="AX36" s="38">
        <f>G36*AP36</f>
        <v>0</v>
      </c>
      <c r="AY36" s="41" t="s">
        <v>256</v>
      </c>
      <c r="AZ36" s="41" t="s">
        <v>270</v>
      </c>
      <c r="BA36" s="37" t="s">
        <v>275</v>
      </c>
      <c r="BC36" s="38">
        <f>AW36+AX36</f>
        <v>0</v>
      </c>
      <c r="BD36" s="38">
        <f>H36/(100-BE36)*100</f>
        <v>0</v>
      </c>
      <c r="BE36" s="38">
        <v>0</v>
      </c>
      <c r="BF36" s="38">
        <f>36</f>
        <v>36</v>
      </c>
      <c r="BH36" s="20">
        <f>G36*AO36</f>
        <v>0</v>
      </c>
      <c r="BI36" s="20">
        <f>G36*AP36</f>
        <v>0</v>
      </c>
      <c r="BJ36" s="20">
        <f>G36*H36</f>
        <v>0</v>
      </c>
      <c r="BK36" s="20" t="s">
        <v>280</v>
      </c>
      <c r="BL36" s="38">
        <v>63</v>
      </c>
    </row>
    <row r="37" spans="1:64" ht="12.75">
      <c r="A37" s="4" t="s">
        <v>24</v>
      </c>
      <c r="B37" s="13" t="s">
        <v>79</v>
      </c>
      <c r="C37" s="93" t="s">
        <v>147</v>
      </c>
      <c r="D37" s="94"/>
      <c r="E37" s="94"/>
      <c r="F37" s="13" t="s">
        <v>221</v>
      </c>
      <c r="G37" s="20">
        <v>14.90091</v>
      </c>
      <c r="H37" s="20">
        <v>0</v>
      </c>
      <c r="I37" s="20">
        <f>G37*AO37</f>
        <v>0</v>
      </c>
      <c r="J37" s="20">
        <f>G37*AP37</f>
        <v>0</v>
      </c>
      <c r="K37" s="20">
        <f>G37*H37</f>
        <v>0</v>
      </c>
      <c r="L37" s="31" t="s">
        <v>239</v>
      </c>
      <c r="M37" s="35"/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37"/>
      <c r="AJ37" s="20">
        <f>IF(AN37=0,K37,0)</f>
        <v>0</v>
      </c>
      <c r="AK37" s="20">
        <f>IF(AN37=15,K37,0)</f>
        <v>0</v>
      </c>
      <c r="AL37" s="20">
        <f>IF(AN37=21,K37,0)</f>
        <v>0</v>
      </c>
      <c r="AN37" s="38">
        <v>21</v>
      </c>
      <c r="AO37" s="38">
        <f>H37*0</f>
        <v>0</v>
      </c>
      <c r="AP37" s="38">
        <f>H37*(1-0)</f>
        <v>0</v>
      </c>
      <c r="AQ37" s="39" t="s">
        <v>11</v>
      </c>
      <c r="AV37" s="38">
        <f>AW37+AX37</f>
        <v>0</v>
      </c>
      <c r="AW37" s="38">
        <f>G37*AO37</f>
        <v>0</v>
      </c>
      <c r="AX37" s="38">
        <f>G37*AP37</f>
        <v>0</v>
      </c>
      <c r="AY37" s="41" t="s">
        <v>256</v>
      </c>
      <c r="AZ37" s="41" t="s">
        <v>270</v>
      </c>
      <c r="BA37" s="37" t="s">
        <v>275</v>
      </c>
      <c r="BC37" s="38">
        <f>AW37+AX37</f>
        <v>0</v>
      </c>
      <c r="BD37" s="38">
        <f>H37/(100-BE37)*100</f>
        <v>0</v>
      </c>
      <c r="BE37" s="38">
        <v>0</v>
      </c>
      <c r="BF37" s="38">
        <f>37</f>
        <v>37</v>
      </c>
      <c r="BH37" s="20">
        <f>G37*AO37</f>
        <v>0</v>
      </c>
      <c r="BI37" s="20">
        <f>G37*AP37</f>
        <v>0</v>
      </c>
      <c r="BJ37" s="20">
        <f>G37*H37</f>
        <v>0</v>
      </c>
      <c r="BK37" s="20" t="s">
        <v>280</v>
      </c>
      <c r="BL37" s="38">
        <v>63</v>
      </c>
    </row>
    <row r="38" spans="1:64" ht="12.75">
      <c r="A38" s="4" t="s">
        <v>25</v>
      </c>
      <c r="B38" s="13" t="s">
        <v>90</v>
      </c>
      <c r="C38" s="93" t="s">
        <v>163</v>
      </c>
      <c r="D38" s="94"/>
      <c r="E38" s="94"/>
      <c r="F38" s="13" t="s">
        <v>219</v>
      </c>
      <c r="G38" s="20">
        <v>3.74</v>
      </c>
      <c r="H38" s="20">
        <v>0</v>
      </c>
      <c r="I38" s="20">
        <f>G38*AO38</f>
        <v>0</v>
      </c>
      <c r="J38" s="20">
        <f>G38*AP38</f>
        <v>0</v>
      </c>
      <c r="K38" s="20">
        <f>G38*H38</f>
        <v>0</v>
      </c>
      <c r="L38" s="31" t="s">
        <v>239</v>
      </c>
      <c r="M38" s="35"/>
      <c r="Z38" s="38">
        <f>IF(AQ38="5",BJ38,0)</f>
        <v>0</v>
      </c>
      <c r="AB38" s="38">
        <f>IF(AQ38="1",BH38,0)</f>
        <v>0</v>
      </c>
      <c r="AC38" s="38">
        <f>IF(AQ38="1",BI38,0)</f>
        <v>0</v>
      </c>
      <c r="AD38" s="38">
        <f>IF(AQ38="7",BH38,0)</f>
        <v>0</v>
      </c>
      <c r="AE38" s="38">
        <f>IF(AQ38="7",BI38,0)</f>
        <v>0</v>
      </c>
      <c r="AF38" s="38">
        <f>IF(AQ38="2",BH38,0)</f>
        <v>0</v>
      </c>
      <c r="AG38" s="38">
        <f>IF(AQ38="2",BI38,0)</f>
        <v>0</v>
      </c>
      <c r="AH38" s="38">
        <f>IF(AQ38="0",BJ38,0)</f>
        <v>0</v>
      </c>
      <c r="AI38" s="37"/>
      <c r="AJ38" s="20">
        <f>IF(AN38=0,K38,0)</f>
        <v>0</v>
      </c>
      <c r="AK38" s="20">
        <f>IF(AN38=15,K38,0)</f>
        <v>0</v>
      </c>
      <c r="AL38" s="20">
        <f>IF(AN38=21,K38,0)</f>
        <v>0</v>
      </c>
      <c r="AN38" s="38">
        <v>21</v>
      </c>
      <c r="AO38" s="38">
        <f>H38*0.583006329113924</f>
        <v>0</v>
      </c>
      <c r="AP38" s="38">
        <f>H38*(1-0.583006329113924)</f>
        <v>0</v>
      </c>
      <c r="AQ38" s="39" t="s">
        <v>7</v>
      </c>
      <c r="AV38" s="38">
        <f>AW38+AX38</f>
        <v>0</v>
      </c>
      <c r="AW38" s="38">
        <f>G38*AO38</f>
        <v>0</v>
      </c>
      <c r="AX38" s="38">
        <f>G38*AP38</f>
        <v>0</v>
      </c>
      <c r="AY38" s="41" t="s">
        <v>256</v>
      </c>
      <c r="AZ38" s="41" t="s">
        <v>270</v>
      </c>
      <c r="BA38" s="37" t="s">
        <v>275</v>
      </c>
      <c r="BC38" s="38">
        <f>AW38+AX38</f>
        <v>0</v>
      </c>
      <c r="BD38" s="38">
        <f>H38/(100-BE38)*100</f>
        <v>0</v>
      </c>
      <c r="BE38" s="38">
        <v>0</v>
      </c>
      <c r="BF38" s="38">
        <f>38</f>
        <v>38</v>
      </c>
      <c r="BH38" s="20">
        <f>G38*AO38</f>
        <v>0</v>
      </c>
      <c r="BI38" s="20">
        <f>G38*AP38</f>
        <v>0</v>
      </c>
      <c r="BJ38" s="20">
        <f>G38*H38</f>
        <v>0</v>
      </c>
      <c r="BK38" s="20" t="s">
        <v>280</v>
      </c>
      <c r="BL38" s="38">
        <v>63</v>
      </c>
    </row>
    <row r="39" spans="1:47" ht="12.75">
      <c r="A39" s="5"/>
      <c r="B39" s="14" t="s">
        <v>91</v>
      </c>
      <c r="C39" s="95" t="s">
        <v>164</v>
      </c>
      <c r="D39" s="96"/>
      <c r="E39" s="96"/>
      <c r="F39" s="18" t="s">
        <v>6</v>
      </c>
      <c r="G39" s="18" t="s">
        <v>6</v>
      </c>
      <c r="H39" s="18" t="s">
        <v>6</v>
      </c>
      <c r="I39" s="44">
        <f>SUM(I40:I44)</f>
        <v>0</v>
      </c>
      <c r="J39" s="44">
        <f>SUM(J40:J44)</f>
        <v>0</v>
      </c>
      <c r="K39" s="44">
        <f>SUM(K40:K44)</f>
        <v>0</v>
      </c>
      <c r="L39" s="32"/>
      <c r="M39" s="35"/>
      <c r="AI39" s="37"/>
      <c r="AS39" s="44">
        <f>SUM(AJ40:AJ44)</f>
        <v>0</v>
      </c>
      <c r="AT39" s="44">
        <f>SUM(AK40:AK44)</f>
        <v>0</v>
      </c>
      <c r="AU39" s="44">
        <f>SUM(AL40:AL44)</f>
        <v>0</v>
      </c>
    </row>
    <row r="40" spans="1:64" ht="12.75">
      <c r="A40" s="4" t="s">
        <v>26</v>
      </c>
      <c r="B40" s="13" t="s">
        <v>92</v>
      </c>
      <c r="C40" s="93" t="s">
        <v>165</v>
      </c>
      <c r="D40" s="94"/>
      <c r="E40" s="94"/>
      <c r="F40" s="13" t="s">
        <v>220</v>
      </c>
      <c r="G40" s="20">
        <v>22</v>
      </c>
      <c r="H40" s="20">
        <v>0</v>
      </c>
      <c r="I40" s="20">
        <f>G40*AO40</f>
        <v>0</v>
      </c>
      <c r="J40" s="20">
        <f>G40*AP40</f>
        <v>0</v>
      </c>
      <c r="K40" s="20">
        <f>G40*H40</f>
        <v>0</v>
      </c>
      <c r="L40" s="31" t="s">
        <v>239</v>
      </c>
      <c r="M40" s="35"/>
      <c r="Z40" s="38">
        <f>IF(AQ40="5",BJ40,0)</f>
        <v>0</v>
      </c>
      <c r="AB40" s="38">
        <f>IF(AQ40="1",BH40,0)</f>
        <v>0</v>
      </c>
      <c r="AC40" s="38">
        <f>IF(AQ40="1",BI40,0)</f>
        <v>0</v>
      </c>
      <c r="AD40" s="38">
        <f>IF(AQ40="7",BH40,0)</f>
        <v>0</v>
      </c>
      <c r="AE40" s="38">
        <f>IF(AQ40="7",BI40,0)</f>
        <v>0</v>
      </c>
      <c r="AF40" s="38">
        <f>IF(AQ40="2",BH40,0)</f>
        <v>0</v>
      </c>
      <c r="AG40" s="38">
        <f>IF(AQ40="2",BI40,0)</f>
        <v>0</v>
      </c>
      <c r="AH40" s="38">
        <f>IF(AQ40="0",BJ40,0)</f>
        <v>0</v>
      </c>
      <c r="AI40" s="37"/>
      <c r="AJ40" s="20">
        <f>IF(AN40=0,K40,0)</f>
        <v>0</v>
      </c>
      <c r="AK40" s="20">
        <f>IF(AN40=15,K40,0)</f>
        <v>0</v>
      </c>
      <c r="AL40" s="20">
        <f>IF(AN40=21,K40,0)</f>
        <v>0</v>
      </c>
      <c r="AN40" s="38">
        <v>21</v>
      </c>
      <c r="AO40" s="38">
        <f>H40*0.0800429184549356</f>
        <v>0</v>
      </c>
      <c r="AP40" s="38">
        <f>H40*(1-0.0800429184549356)</f>
        <v>0</v>
      </c>
      <c r="AQ40" s="39" t="s">
        <v>13</v>
      </c>
      <c r="AV40" s="38">
        <f>AW40+AX40</f>
        <v>0</v>
      </c>
      <c r="AW40" s="38">
        <f>G40*AO40</f>
        <v>0</v>
      </c>
      <c r="AX40" s="38">
        <f>G40*AP40</f>
        <v>0</v>
      </c>
      <c r="AY40" s="41" t="s">
        <v>257</v>
      </c>
      <c r="AZ40" s="41" t="s">
        <v>271</v>
      </c>
      <c r="BA40" s="37" t="s">
        <v>275</v>
      </c>
      <c r="BC40" s="38">
        <f>AW40+AX40</f>
        <v>0</v>
      </c>
      <c r="BD40" s="38">
        <f>H40/(100-BE40)*100</f>
        <v>0</v>
      </c>
      <c r="BE40" s="38">
        <v>0</v>
      </c>
      <c r="BF40" s="38">
        <f>40</f>
        <v>40</v>
      </c>
      <c r="BH40" s="20">
        <f>G40*AO40</f>
        <v>0</v>
      </c>
      <c r="BI40" s="20">
        <f>G40*AP40</f>
        <v>0</v>
      </c>
      <c r="BJ40" s="20">
        <f>G40*H40</f>
        <v>0</v>
      </c>
      <c r="BK40" s="20" t="s">
        <v>280</v>
      </c>
      <c r="BL40" s="38">
        <v>711</v>
      </c>
    </row>
    <row r="41" spans="1:64" ht="12.75">
      <c r="A41" s="4" t="s">
        <v>27</v>
      </c>
      <c r="B41" s="13" t="s">
        <v>93</v>
      </c>
      <c r="C41" s="93" t="s">
        <v>166</v>
      </c>
      <c r="D41" s="94"/>
      <c r="E41" s="94"/>
      <c r="F41" s="13" t="s">
        <v>219</v>
      </c>
      <c r="G41" s="20">
        <v>45.7138</v>
      </c>
      <c r="H41" s="20">
        <v>0</v>
      </c>
      <c r="I41" s="20">
        <f>G41*AO41</f>
        <v>0</v>
      </c>
      <c r="J41" s="20">
        <f>G41*AP41</f>
        <v>0</v>
      </c>
      <c r="K41" s="20">
        <f>G41*H41</f>
        <v>0</v>
      </c>
      <c r="L41" s="31" t="s">
        <v>239</v>
      </c>
      <c r="M41" s="35"/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37"/>
      <c r="AJ41" s="20">
        <f>IF(AN41=0,K41,0)</f>
        <v>0</v>
      </c>
      <c r="AK41" s="20">
        <f>IF(AN41=15,K41,0)</f>
        <v>0</v>
      </c>
      <c r="AL41" s="20">
        <f>IF(AN41=21,K41,0)</f>
        <v>0</v>
      </c>
      <c r="AN41" s="38">
        <v>21</v>
      </c>
      <c r="AO41" s="38">
        <f>H41*0.570214690978779</f>
        <v>0</v>
      </c>
      <c r="AP41" s="38">
        <f>H41*(1-0.570214690978779)</f>
        <v>0</v>
      </c>
      <c r="AQ41" s="39" t="s">
        <v>13</v>
      </c>
      <c r="AV41" s="38">
        <f>AW41+AX41</f>
        <v>0</v>
      </c>
      <c r="AW41" s="38">
        <f>G41*AO41</f>
        <v>0</v>
      </c>
      <c r="AX41" s="38">
        <f>G41*AP41</f>
        <v>0</v>
      </c>
      <c r="AY41" s="41" t="s">
        <v>257</v>
      </c>
      <c r="AZ41" s="41" t="s">
        <v>271</v>
      </c>
      <c r="BA41" s="37" t="s">
        <v>275</v>
      </c>
      <c r="BC41" s="38">
        <f>AW41+AX41</f>
        <v>0</v>
      </c>
      <c r="BD41" s="38">
        <f>H41/(100-BE41)*100</f>
        <v>0</v>
      </c>
      <c r="BE41" s="38">
        <v>0</v>
      </c>
      <c r="BF41" s="38">
        <f>41</f>
        <v>41</v>
      </c>
      <c r="BH41" s="20">
        <f>G41*AO41</f>
        <v>0</v>
      </c>
      <c r="BI41" s="20">
        <f>G41*AP41</f>
        <v>0</v>
      </c>
      <c r="BJ41" s="20">
        <f>G41*H41</f>
        <v>0</v>
      </c>
      <c r="BK41" s="20" t="s">
        <v>280</v>
      </c>
      <c r="BL41" s="38">
        <v>711</v>
      </c>
    </row>
    <row r="42" spans="1:64" ht="12.75">
      <c r="A42" s="4" t="s">
        <v>28</v>
      </c>
      <c r="B42" s="13" t="s">
        <v>94</v>
      </c>
      <c r="C42" s="93" t="s">
        <v>167</v>
      </c>
      <c r="D42" s="94"/>
      <c r="E42" s="94"/>
      <c r="F42" s="13" t="s">
        <v>219</v>
      </c>
      <c r="G42" s="20">
        <v>45.7</v>
      </c>
      <c r="H42" s="20">
        <v>0</v>
      </c>
      <c r="I42" s="20">
        <f>G42*AO42</f>
        <v>0</v>
      </c>
      <c r="J42" s="20">
        <f>G42*AP42</f>
        <v>0</v>
      </c>
      <c r="K42" s="20">
        <f>G42*H42</f>
        <v>0</v>
      </c>
      <c r="L42" s="31" t="s">
        <v>239</v>
      </c>
      <c r="M42" s="35"/>
      <c r="Z42" s="38">
        <f>IF(AQ42="5",BJ42,0)</f>
        <v>0</v>
      </c>
      <c r="AB42" s="38">
        <f>IF(AQ42="1",BH42,0)</f>
        <v>0</v>
      </c>
      <c r="AC42" s="38">
        <f>IF(AQ42="1",BI42,0)</f>
        <v>0</v>
      </c>
      <c r="AD42" s="38">
        <f>IF(AQ42="7",BH42,0)</f>
        <v>0</v>
      </c>
      <c r="AE42" s="38">
        <f>IF(AQ42="7",BI42,0)</f>
        <v>0</v>
      </c>
      <c r="AF42" s="38">
        <f>IF(AQ42="2",BH42,0)</f>
        <v>0</v>
      </c>
      <c r="AG42" s="38">
        <f>IF(AQ42="2",BI42,0)</f>
        <v>0</v>
      </c>
      <c r="AH42" s="38">
        <f>IF(AQ42="0",BJ42,0)</f>
        <v>0</v>
      </c>
      <c r="AI42" s="37"/>
      <c r="AJ42" s="20">
        <f>IF(AN42=0,K42,0)</f>
        <v>0</v>
      </c>
      <c r="AK42" s="20">
        <f>IF(AN42=15,K42,0)</f>
        <v>0</v>
      </c>
      <c r="AL42" s="20">
        <f>IF(AN42=21,K42,0)</f>
        <v>0</v>
      </c>
      <c r="AN42" s="38">
        <v>21</v>
      </c>
      <c r="AO42" s="38">
        <f>H42*0.0795495495495496</f>
        <v>0</v>
      </c>
      <c r="AP42" s="38">
        <f>H42*(1-0.0795495495495496)</f>
        <v>0</v>
      </c>
      <c r="AQ42" s="39" t="s">
        <v>13</v>
      </c>
      <c r="AV42" s="38">
        <f>AW42+AX42</f>
        <v>0</v>
      </c>
      <c r="AW42" s="38">
        <f>G42*AO42</f>
        <v>0</v>
      </c>
      <c r="AX42" s="38">
        <f>G42*AP42</f>
        <v>0</v>
      </c>
      <c r="AY42" s="41" t="s">
        <v>257</v>
      </c>
      <c r="AZ42" s="41" t="s">
        <v>271</v>
      </c>
      <c r="BA42" s="37" t="s">
        <v>275</v>
      </c>
      <c r="BC42" s="38">
        <f>AW42+AX42</f>
        <v>0</v>
      </c>
      <c r="BD42" s="38">
        <f>H42/(100-BE42)*100</f>
        <v>0</v>
      </c>
      <c r="BE42" s="38">
        <v>0</v>
      </c>
      <c r="BF42" s="38">
        <f>42</f>
        <v>42</v>
      </c>
      <c r="BH42" s="20">
        <f>G42*AO42</f>
        <v>0</v>
      </c>
      <c r="BI42" s="20">
        <f>G42*AP42</f>
        <v>0</v>
      </c>
      <c r="BJ42" s="20">
        <f>G42*H42</f>
        <v>0</v>
      </c>
      <c r="BK42" s="20" t="s">
        <v>280</v>
      </c>
      <c r="BL42" s="38">
        <v>711</v>
      </c>
    </row>
    <row r="43" spans="1:64" ht="12.75">
      <c r="A43" s="6" t="s">
        <v>29</v>
      </c>
      <c r="B43" s="15" t="s">
        <v>95</v>
      </c>
      <c r="C43" s="97" t="s">
        <v>168</v>
      </c>
      <c r="D43" s="98"/>
      <c r="E43" s="98"/>
      <c r="F43" s="15" t="s">
        <v>219</v>
      </c>
      <c r="G43" s="21">
        <v>52.555</v>
      </c>
      <c r="H43" s="21">
        <v>0</v>
      </c>
      <c r="I43" s="21">
        <f>G43*AO43</f>
        <v>0</v>
      </c>
      <c r="J43" s="21">
        <f>G43*AP43</f>
        <v>0</v>
      </c>
      <c r="K43" s="21">
        <f>G43*H43</f>
        <v>0</v>
      </c>
      <c r="L43" s="33" t="s">
        <v>239</v>
      </c>
      <c r="M43" s="35"/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7"/>
      <c r="AJ43" s="21">
        <f>IF(AN43=0,K43,0)</f>
        <v>0</v>
      </c>
      <c r="AK43" s="21">
        <f>IF(AN43=15,K43,0)</f>
        <v>0</v>
      </c>
      <c r="AL43" s="21">
        <f>IF(AN43=21,K43,0)</f>
        <v>0</v>
      </c>
      <c r="AN43" s="38">
        <v>21</v>
      </c>
      <c r="AO43" s="38">
        <f>H43*1</f>
        <v>0</v>
      </c>
      <c r="AP43" s="38">
        <f>H43*(1-1)</f>
        <v>0</v>
      </c>
      <c r="AQ43" s="40" t="s">
        <v>13</v>
      </c>
      <c r="AV43" s="38">
        <f>AW43+AX43</f>
        <v>0</v>
      </c>
      <c r="AW43" s="38">
        <f>G43*AO43</f>
        <v>0</v>
      </c>
      <c r="AX43" s="38">
        <f>G43*AP43</f>
        <v>0</v>
      </c>
      <c r="AY43" s="41" t="s">
        <v>257</v>
      </c>
      <c r="AZ43" s="41" t="s">
        <v>271</v>
      </c>
      <c r="BA43" s="37" t="s">
        <v>275</v>
      </c>
      <c r="BC43" s="38">
        <f>AW43+AX43</f>
        <v>0</v>
      </c>
      <c r="BD43" s="38">
        <f>H43/(100-BE43)*100</f>
        <v>0</v>
      </c>
      <c r="BE43" s="38">
        <v>0</v>
      </c>
      <c r="BF43" s="38">
        <f>43</f>
        <v>43</v>
      </c>
      <c r="BH43" s="21">
        <f>G43*AO43</f>
        <v>0</v>
      </c>
      <c r="BI43" s="21">
        <f>G43*AP43</f>
        <v>0</v>
      </c>
      <c r="BJ43" s="21">
        <f>G43*H43</f>
        <v>0</v>
      </c>
      <c r="BK43" s="21" t="s">
        <v>281</v>
      </c>
      <c r="BL43" s="38">
        <v>711</v>
      </c>
    </row>
    <row r="44" spans="1:64" ht="12.75">
      <c r="A44" s="4" t="s">
        <v>30</v>
      </c>
      <c r="B44" s="13" t="s">
        <v>79</v>
      </c>
      <c r="C44" s="93" t="s">
        <v>147</v>
      </c>
      <c r="D44" s="94"/>
      <c r="E44" s="94"/>
      <c r="F44" s="13" t="s">
        <v>221</v>
      </c>
      <c r="G44" s="20">
        <v>0.61283</v>
      </c>
      <c r="H44" s="20">
        <v>0</v>
      </c>
      <c r="I44" s="20">
        <f>G44*AO44</f>
        <v>0</v>
      </c>
      <c r="J44" s="20">
        <f>G44*AP44</f>
        <v>0</v>
      </c>
      <c r="K44" s="20">
        <f>G44*H44</f>
        <v>0</v>
      </c>
      <c r="L44" s="31" t="s">
        <v>239</v>
      </c>
      <c r="M44" s="35"/>
      <c r="Z44" s="38">
        <f>IF(AQ44="5",BJ44,0)</f>
        <v>0</v>
      </c>
      <c r="AB44" s="38">
        <f>IF(AQ44="1",BH44,0)</f>
        <v>0</v>
      </c>
      <c r="AC44" s="38">
        <f>IF(AQ44="1",BI44,0)</f>
        <v>0</v>
      </c>
      <c r="AD44" s="38">
        <f>IF(AQ44="7",BH44,0)</f>
        <v>0</v>
      </c>
      <c r="AE44" s="38">
        <f>IF(AQ44="7",BI44,0)</f>
        <v>0</v>
      </c>
      <c r="AF44" s="38">
        <f>IF(AQ44="2",BH44,0)</f>
        <v>0</v>
      </c>
      <c r="AG44" s="38">
        <f>IF(AQ44="2",BI44,0)</f>
        <v>0</v>
      </c>
      <c r="AH44" s="38">
        <f>IF(AQ44="0",BJ44,0)</f>
        <v>0</v>
      </c>
      <c r="AI44" s="37"/>
      <c r="AJ44" s="20">
        <f>IF(AN44=0,K44,0)</f>
        <v>0</v>
      </c>
      <c r="AK44" s="20">
        <f>IF(AN44=15,K44,0)</f>
        <v>0</v>
      </c>
      <c r="AL44" s="20">
        <f>IF(AN44=21,K44,0)</f>
        <v>0</v>
      </c>
      <c r="AN44" s="38">
        <v>21</v>
      </c>
      <c r="AO44" s="38">
        <f>H44*0</f>
        <v>0</v>
      </c>
      <c r="AP44" s="38">
        <f>H44*(1-0)</f>
        <v>0</v>
      </c>
      <c r="AQ44" s="39" t="s">
        <v>11</v>
      </c>
      <c r="AV44" s="38">
        <f>AW44+AX44</f>
        <v>0</v>
      </c>
      <c r="AW44" s="38">
        <f>G44*AO44</f>
        <v>0</v>
      </c>
      <c r="AX44" s="38">
        <f>G44*AP44</f>
        <v>0</v>
      </c>
      <c r="AY44" s="41" t="s">
        <v>257</v>
      </c>
      <c r="AZ44" s="41" t="s">
        <v>271</v>
      </c>
      <c r="BA44" s="37" t="s">
        <v>275</v>
      </c>
      <c r="BC44" s="38">
        <f>AW44+AX44</f>
        <v>0</v>
      </c>
      <c r="BD44" s="38">
        <f>H44/(100-BE44)*100</f>
        <v>0</v>
      </c>
      <c r="BE44" s="38">
        <v>0</v>
      </c>
      <c r="BF44" s="38">
        <f>44</f>
        <v>44</v>
      </c>
      <c r="BH44" s="20">
        <f>G44*AO44</f>
        <v>0</v>
      </c>
      <c r="BI44" s="20">
        <f>G44*AP44</f>
        <v>0</v>
      </c>
      <c r="BJ44" s="20">
        <f>G44*H44</f>
        <v>0</v>
      </c>
      <c r="BK44" s="20" t="s">
        <v>280</v>
      </c>
      <c r="BL44" s="38">
        <v>711</v>
      </c>
    </row>
    <row r="45" spans="1:47" ht="12.75">
      <c r="A45" s="5"/>
      <c r="B45" s="14" t="s">
        <v>96</v>
      </c>
      <c r="C45" s="95" t="s">
        <v>169</v>
      </c>
      <c r="D45" s="96"/>
      <c r="E45" s="96"/>
      <c r="F45" s="18" t="s">
        <v>6</v>
      </c>
      <c r="G45" s="18" t="s">
        <v>6</v>
      </c>
      <c r="H45" s="18" t="s">
        <v>6</v>
      </c>
      <c r="I45" s="44">
        <f>SUM(I46:I47)</f>
        <v>0</v>
      </c>
      <c r="J45" s="44">
        <f>SUM(J46:J47)</f>
        <v>0</v>
      </c>
      <c r="K45" s="44">
        <f>SUM(K46:K47)</f>
        <v>0</v>
      </c>
      <c r="L45" s="32"/>
      <c r="M45" s="35"/>
      <c r="AI45" s="37"/>
      <c r="AS45" s="44">
        <f>SUM(AJ46:AJ47)</f>
        <v>0</v>
      </c>
      <c r="AT45" s="44">
        <f>SUM(AK46:AK47)</f>
        <v>0</v>
      </c>
      <c r="AU45" s="44">
        <f>SUM(AL46:AL47)</f>
        <v>0</v>
      </c>
    </row>
    <row r="46" spans="1:64" ht="12.75">
      <c r="A46" s="4" t="s">
        <v>31</v>
      </c>
      <c r="B46" s="13" t="s">
        <v>97</v>
      </c>
      <c r="C46" s="93" t="s">
        <v>170</v>
      </c>
      <c r="D46" s="94"/>
      <c r="E46" s="94"/>
      <c r="F46" s="13" t="s">
        <v>223</v>
      </c>
      <c r="G46" s="20">
        <v>1</v>
      </c>
      <c r="H46" s="20">
        <v>0</v>
      </c>
      <c r="I46" s="20">
        <f>G46*AO46</f>
        <v>0</v>
      </c>
      <c r="J46" s="20">
        <f>G46*AP46</f>
        <v>0</v>
      </c>
      <c r="K46" s="20">
        <f>G46*H46</f>
        <v>0</v>
      </c>
      <c r="L46" s="31" t="s">
        <v>239</v>
      </c>
      <c r="M46" s="35"/>
      <c r="Z46" s="38">
        <f>IF(AQ46="5",BJ46,0)</f>
        <v>0</v>
      </c>
      <c r="AB46" s="38">
        <f>IF(AQ46="1",BH46,0)</f>
        <v>0</v>
      </c>
      <c r="AC46" s="38">
        <f>IF(AQ46="1",BI46,0)</f>
        <v>0</v>
      </c>
      <c r="AD46" s="38">
        <f>IF(AQ46="7",BH46,0)</f>
        <v>0</v>
      </c>
      <c r="AE46" s="38">
        <f>IF(AQ46="7",BI46,0)</f>
        <v>0</v>
      </c>
      <c r="AF46" s="38">
        <f>IF(AQ46="2",BH46,0)</f>
        <v>0</v>
      </c>
      <c r="AG46" s="38">
        <f>IF(AQ46="2",BI46,0)</f>
        <v>0</v>
      </c>
      <c r="AH46" s="38">
        <f>IF(AQ46="0",BJ46,0)</f>
        <v>0</v>
      </c>
      <c r="AI46" s="37"/>
      <c r="AJ46" s="20">
        <f>IF(AN46=0,K46,0)</f>
        <v>0</v>
      </c>
      <c r="AK46" s="20">
        <f>IF(AN46=15,K46,0)</f>
        <v>0</v>
      </c>
      <c r="AL46" s="20">
        <f>IF(AN46=21,K46,0)</f>
        <v>0</v>
      </c>
      <c r="AN46" s="38">
        <v>21</v>
      </c>
      <c r="AO46" s="38">
        <f>H46*0.962704980842912</f>
        <v>0</v>
      </c>
      <c r="AP46" s="38">
        <f>H46*(1-0.962704980842912)</f>
        <v>0</v>
      </c>
      <c r="AQ46" s="39" t="s">
        <v>13</v>
      </c>
      <c r="AV46" s="38">
        <f>AW46+AX46</f>
        <v>0</v>
      </c>
      <c r="AW46" s="38">
        <f>G46*AO46</f>
        <v>0</v>
      </c>
      <c r="AX46" s="38">
        <f>G46*AP46</f>
        <v>0</v>
      </c>
      <c r="AY46" s="41" t="s">
        <v>258</v>
      </c>
      <c r="AZ46" s="41" t="s">
        <v>272</v>
      </c>
      <c r="BA46" s="37" t="s">
        <v>275</v>
      </c>
      <c r="BC46" s="38">
        <f>AW46+AX46</f>
        <v>0</v>
      </c>
      <c r="BD46" s="38">
        <f>H46/(100-BE46)*100</f>
        <v>0</v>
      </c>
      <c r="BE46" s="38">
        <v>0</v>
      </c>
      <c r="BF46" s="38">
        <f>46</f>
        <v>46</v>
      </c>
      <c r="BH46" s="20">
        <f>G46*AO46</f>
        <v>0</v>
      </c>
      <c r="BI46" s="20">
        <f>G46*AP46</f>
        <v>0</v>
      </c>
      <c r="BJ46" s="20">
        <f>G46*H46</f>
        <v>0</v>
      </c>
      <c r="BK46" s="20" t="s">
        <v>280</v>
      </c>
      <c r="BL46" s="38">
        <v>721</v>
      </c>
    </row>
    <row r="47" spans="1:64" ht="12.75">
      <c r="A47" s="4" t="s">
        <v>32</v>
      </c>
      <c r="B47" s="13" t="s">
        <v>98</v>
      </c>
      <c r="C47" s="93" t="s">
        <v>171</v>
      </c>
      <c r="D47" s="94"/>
      <c r="E47" s="94"/>
      <c r="F47" s="13" t="s">
        <v>223</v>
      </c>
      <c r="G47" s="20">
        <v>1</v>
      </c>
      <c r="H47" s="20">
        <v>0</v>
      </c>
      <c r="I47" s="20">
        <f>G47*AO47</f>
        <v>0</v>
      </c>
      <c r="J47" s="20">
        <f>G47*AP47</f>
        <v>0</v>
      </c>
      <c r="K47" s="20">
        <f>G47*H47</f>
        <v>0</v>
      </c>
      <c r="L47" s="31" t="s">
        <v>239</v>
      </c>
      <c r="M47" s="35"/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7"/>
      <c r="AJ47" s="20">
        <f>IF(AN47=0,K47,0)</f>
        <v>0</v>
      </c>
      <c r="AK47" s="20">
        <f>IF(AN47=15,K47,0)</f>
        <v>0</v>
      </c>
      <c r="AL47" s="20">
        <f>IF(AN47=21,K47,0)</f>
        <v>0</v>
      </c>
      <c r="AN47" s="38">
        <v>21</v>
      </c>
      <c r="AO47" s="38">
        <f>H47*0.925977186311787</f>
        <v>0</v>
      </c>
      <c r="AP47" s="38">
        <f>H47*(1-0.925977186311787)</f>
        <v>0</v>
      </c>
      <c r="AQ47" s="39" t="s">
        <v>13</v>
      </c>
      <c r="AV47" s="38">
        <f>AW47+AX47</f>
        <v>0</v>
      </c>
      <c r="AW47" s="38">
        <f>G47*AO47</f>
        <v>0</v>
      </c>
      <c r="AX47" s="38">
        <f>G47*AP47</f>
        <v>0</v>
      </c>
      <c r="AY47" s="41" t="s">
        <v>258</v>
      </c>
      <c r="AZ47" s="41" t="s">
        <v>272</v>
      </c>
      <c r="BA47" s="37" t="s">
        <v>275</v>
      </c>
      <c r="BC47" s="38">
        <f>AW47+AX47</f>
        <v>0</v>
      </c>
      <c r="BD47" s="38">
        <f>H47/(100-BE47)*100</f>
        <v>0</v>
      </c>
      <c r="BE47" s="38">
        <v>0</v>
      </c>
      <c r="BF47" s="38">
        <f>47</f>
        <v>47</v>
      </c>
      <c r="BH47" s="20">
        <f>G47*AO47</f>
        <v>0</v>
      </c>
      <c r="BI47" s="20">
        <f>G47*AP47</f>
        <v>0</v>
      </c>
      <c r="BJ47" s="20">
        <f>G47*H47</f>
        <v>0</v>
      </c>
      <c r="BK47" s="20" t="s">
        <v>280</v>
      </c>
      <c r="BL47" s="38">
        <v>721</v>
      </c>
    </row>
    <row r="48" spans="1:47" ht="12.75">
      <c r="A48" s="5"/>
      <c r="B48" s="14" t="s">
        <v>99</v>
      </c>
      <c r="C48" s="95" t="s">
        <v>172</v>
      </c>
      <c r="D48" s="96"/>
      <c r="E48" s="96"/>
      <c r="F48" s="18" t="s">
        <v>6</v>
      </c>
      <c r="G48" s="18" t="s">
        <v>6</v>
      </c>
      <c r="H48" s="18" t="s">
        <v>6</v>
      </c>
      <c r="I48" s="44">
        <f>SUM(I49:I51)</f>
        <v>0</v>
      </c>
      <c r="J48" s="44">
        <f>SUM(J49:J51)</f>
        <v>0</v>
      </c>
      <c r="K48" s="44">
        <f>SUM(K49:K51)</f>
        <v>0</v>
      </c>
      <c r="L48" s="32"/>
      <c r="M48" s="35"/>
      <c r="AI48" s="37"/>
      <c r="AS48" s="44">
        <f>SUM(AJ49:AJ51)</f>
        <v>0</v>
      </c>
      <c r="AT48" s="44">
        <f>SUM(AK49:AK51)</f>
        <v>0</v>
      </c>
      <c r="AU48" s="44">
        <f>SUM(AL49:AL51)</f>
        <v>0</v>
      </c>
    </row>
    <row r="49" spans="1:64" ht="12.75">
      <c r="A49" s="4" t="s">
        <v>33</v>
      </c>
      <c r="B49" s="13" t="s">
        <v>100</v>
      </c>
      <c r="C49" s="93" t="s">
        <v>173</v>
      </c>
      <c r="D49" s="94"/>
      <c r="E49" s="94"/>
      <c r="F49" s="13" t="s">
        <v>223</v>
      </c>
      <c r="G49" s="20">
        <v>1</v>
      </c>
      <c r="H49" s="20">
        <v>0</v>
      </c>
      <c r="I49" s="20">
        <f>G49*AO49</f>
        <v>0</v>
      </c>
      <c r="J49" s="20">
        <f>G49*AP49</f>
        <v>0</v>
      </c>
      <c r="K49" s="20">
        <f>G49*H49</f>
        <v>0</v>
      </c>
      <c r="L49" s="31" t="s">
        <v>239</v>
      </c>
      <c r="M49" s="35"/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7"/>
      <c r="AJ49" s="20">
        <f>IF(AN49=0,K49,0)</f>
        <v>0</v>
      </c>
      <c r="AK49" s="20">
        <f>IF(AN49=15,K49,0)</f>
        <v>0</v>
      </c>
      <c r="AL49" s="20">
        <f>IF(AN49=21,K49,0)</f>
        <v>0</v>
      </c>
      <c r="AN49" s="38">
        <v>21</v>
      </c>
      <c r="AO49" s="38">
        <f>H49*0.506313445362261</f>
        <v>0</v>
      </c>
      <c r="AP49" s="38">
        <f>H49*(1-0.506313445362261)</f>
        <v>0</v>
      </c>
      <c r="AQ49" s="39" t="s">
        <v>7</v>
      </c>
      <c r="AV49" s="38">
        <f>AW49+AX49</f>
        <v>0</v>
      </c>
      <c r="AW49" s="38">
        <f>G49*AO49</f>
        <v>0</v>
      </c>
      <c r="AX49" s="38">
        <f>G49*AP49</f>
        <v>0</v>
      </c>
      <c r="AY49" s="41" t="s">
        <v>259</v>
      </c>
      <c r="AZ49" s="41" t="s">
        <v>273</v>
      </c>
      <c r="BA49" s="37" t="s">
        <v>275</v>
      </c>
      <c r="BC49" s="38">
        <f>AW49+AX49</f>
        <v>0</v>
      </c>
      <c r="BD49" s="38">
        <f>H49/(100-BE49)*100</f>
        <v>0</v>
      </c>
      <c r="BE49" s="38">
        <v>0</v>
      </c>
      <c r="BF49" s="38">
        <f>49</f>
        <v>49</v>
      </c>
      <c r="BH49" s="20">
        <f>G49*AO49</f>
        <v>0</v>
      </c>
      <c r="BI49" s="20">
        <f>G49*AP49</f>
        <v>0</v>
      </c>
      <c r="BJ49" s="20">
        <f>G49*H49</f>
        <v>0</v>
      </c>
      <c r="BK49" s="20" t="s">
        <v>280</v>
      </c>
      <c r="BL49" s="38">
        <v>89</v>
      </c>
    </row>
    <row r="50" spans="1:64" ht="12.75">
      <c r="A50" s="4" t="s">
        <v>34</v>
      </c>
      <c r="B50" s="13" t="s">
        <v>101</v>
      </c>
      <c r="C50" s="93" t="s">
        <v>174</v>
      </c>
      <c r="D50" s="94"/>
      <c r="E50" s="94"/>
      <c r="F50" s="13"/>
      <c r="G50" s="20">
        <v>1</v>
      </c>
      <c r="H50" s="20">
        <v>0</v>
      </c>
      <c r="I50" s="20">
        <f>G50*AO50</f>
        <v>0</v>
      </c>
      <c r="J50" s="20">
        <f>G50*AP50</f>
        <v>0</v>
      </c>
      <c r="K50" s="20">
        <f>G50*H50</f>
        <v>0</v>
      </c>
      <c r="L50" s="31"/>
      <c r="M50" s="35"/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37"/>
      <c r="AJ50" s="20">
        <f>IF(AN50=0,K50,0)</f>
        <v>0</v>
      </c>
      <c r="AK50" s="20">
        <f>IF(AN50=15,K50,0)</f>
        <v>0</v>
      </c>
      <c r="AL50" s="20">
        <f>IF(AN50=21,K50,0)</f>
        <v>0</v>
      </c>
      <c r="AN50" s="38">
        <v>21</v>
      </c>
      <c r="AO50" s="38">
        <f>H50*1</f>
        <v>0</v>
      </c>
      <c r="AP50" s="38">
        <f>H50*(1-1)</f>
        <v>0</v>
      </c>
      <c r="AQ50" s="39" t="s">
        <v>7</v>
      </c>
      <c r="AV50" s="38">
        <f>AW50+AX50</f>
        <v>0</v>
      </c>
      <c r="AW50" s="38">
        <f>G50*AO50</f>
        <v>0</v>
      </c>
      <c r="AX50" s="38">
        <f>G50*AP50</f>
        <v>0</v>
      </c>
      <c r="AY50" s="41" t="s">
        <v>259</v>
      </c>
      <c r="AZ50" s="41" t="s">
        <v>273</v>
      </c>
      <c r="BA50" s="37" t="s">
        <v>275</v>
      </c>
      <c r="BC50" s="38">
        <f>AW50+AX50</f>
        <v>0</v>
      </c>
      <c r="BD50" s="38">
        <f>H50/(100-BE50)*100</f>
        <v>0</v>
      </c>
      <c r="BE50" s="38">
        <v>0</v>
      </c>
      <c r="BF50" s="38">
        <f>50</f>
        <v>50</v>
      </c>
      <c r="BH50" s="20">
        <f>G50*AO50</f>
        <v>0</v>
      </c>
      <c r="BI50" s="20">
        <f>G50*AP50</f>
        <v>0</v>
      </c>
      <c r="BJ50" s="20">
        <f>G50*H50</f>
        <v>0</v>
      </c>
      <c r="BK50" s="20" t="s">
        <v>280</v>
      </c>
      <c r="BL50" s="38">
        <v>89</v>
      </c>
    </row>
    <row r="51" spans="1:64" ht="12.75">
      <c r="A51" s="4" t="s">
        <v>35</v>
      </c>
      <c r="B51" s="13" t="s">
        <v>79</v>
      </c>
      <c r="C51" s="93" t="s">
        <v>147</v>
      </c>
      <c r="D51" s="94"/>
      <c r="E51" s="94"/>
      <c r="F51" s="13" t="s">
        <v>221</v>
      </c>
      <c r="G51" s="20">
        <v>1.15591</v>
      </c>
      <c r="H51" s="20">
        <v>0</v>
      </c>
      <c r="I51" s="20">
        <f>G51*AO51</f>
        <v>0</v>
      </c>
      <c r="J51" s="20">
        <f>G51*AP51</f>
        <v>0</v>
      </c>
      <c r="K51" s="20">
        <f>G51*H51</f>
        <v>0</v>
      </c>
      <c r="L51" s="31" t="s">
        <v>239</v>
      </c>
      <c r="M51" s="35"/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37"/>
      <c r="AJ51" s="20">
        <f>IF(AN51=0,K51,0)</f>
        <v>0</v>
      </c>
      <c r="AK51" s="20">
        <f>IF(AN51=15,K51,0)</f>
        <v>0</v>
      </c>
      <c r="AL51" s="20">
        <f>IF(AN51=21,K51,0)</f>
        <v>0</v>
      </c>
      <c r="AN51" s="38">
        <v>21</v>
      </c>
      <c r="AO51" s="38">
        <f>H51*0</f>
        <v>0</v>
      </c>
      <c r="AP51" s="38">
        <f>H51*(1-0)</f>
        <v>0</v>
      </c>
      <c r="AQ51" s="39" t="s">
        <v>11</v>
      </c>
      <c r="AV51" s="38">
        <f>AW51+AX51</f>
        <v>0</v>
      </c>
      <c r="AW51" s="38">
        <f>G51*AO51</f>
        <v>0</v>
      </c>
      <c r="AX51" s="38">
        <f>G51*AP51</f>
        <v>0</v>
      </c>
      <c r="AY51" s="41" t="s">
        <v>259</v>
      </c>
      <c r="AZ51" s="41" t="s">
        <v>273</v>
      </c>
      <c r="BA51" s="37" t="s">
        <v>275</v>
      </c>
      <c r="BC51" s="38">
        <f>AW51+AX51</f>
        <v>0</v>
      </c>
      <c r="BD51" s="38">
        <f>H51/(100-BE51)*100</f>
        <v>0</v>
      </c>
      <c r="BE51" s="38">
        <v>0</v>
      </c>
      <c r="BF51" s="38">
        <f>51</f>
        <v>51</v>
      </c>
      <c r="BH51" s="20">
        <f>G51*AO51</f>
        <v>0</v>
      </c>
      <c r="BI51" s="20">
        <f>G51*AP51</f>
        <v>0</v>
      </c>
      <c r="BJ51" s="20">
        <f>G51*H51</f>
        <v>0</v>
      </c>
      <c r="BK51" s="20" t="s">
        <v>280</v>
      </c>
      <c r="BL51" s="38">
        <v>89</v>
      </c>
    </row>
    <row r="52" spans="1:47" ht="12.75">
      <c r="A52" s="5"/>
      <c r="B52" s="14" t="s">
        <v>102</v>
      </c>
      <c r="C52" s="95" t="s">
        <v>175</v>
      </c>
      <c r="D52" s="96"/>
      <c r="E52" s="96"/>
      <c r="F52" s="18" t="s">
        <v>6</v>
      </c>
      <c r="G52" s="18" t="s">
        <v>6</v>
      </c>
      <c r="H52" s="18" t="s">
        <v>6</v>
      </c>
      <c r="I52" s="44">
        <f>SUM(I53:I69)</f>
        <v>0</v>
      </c>
      <c r="J52" s="44">
        <f>SUM(J53:J69)</f>
        <v>0</v>
      </c>
      <c r="K52" s="44">
        <f>SUM(K53:K69)</f>
        <v>0</v>
      </c>
      <c r="L52" s="32"/>
      <c r="M52" s="35"/>
      <c r="AI52" s="37"/>
      <c r="AS52" s="44">
        <f>SUM(AJ53:AJ69)</f>
        <v>0</v>
      </c>
      <c r="AT52" s="44">
        <f>SUM(AK53:AK69)</f>
        <v>0</v>
      </c>
      <c r="AU52" s="44">
        <f>SUM(AL53:AL69)</f>
        <v>0</v>
      </c>
    </row>
    <row r="53" spans="1:64" ht="12.75">
      <c r="A53" s="4" t="s">
        <v>36</v>
      </c>
      <c r="B53" s="13" t="s">
        <v>103</v>
      </c>
      <c r="C53" s="93" t="s">
        <v>176</v>
      </c>
      <c r="D53" s="94"/>
      <c r="E53" s="94"/>
      <c r="F53" s="13" t="s">
        <v>220</v>
      </c>
      <c r="G53" s="20">
        <v>17</v>
      </c>
      <c r="H53" s="20">
        <v>0</v>
      </c>
      <c r="I53" s="20">
        <f aca="true" t="shared" si="0" ref="I53:I69">G53*AO53</f>
        <v>0</v>
      </c>
      <c r="J53" s="20">
        <f aca="true" t="shared" si="1" ref="J53:J69">G53*AP53</f>
        <v>0</v>
      </c>
      <c r="K53" s="20">
        <f aca="true" t="shared" si="2" ref="K53:K69">G53*H53</f>
        <v>0</v>
      </c>
      <c r="L53" s="31" t="s">
        <v>239</v>
      </c>
      <c r="M53" s="35"/>
      <c r="Z53" s="38">
        <f aca="true" t="shared" si="3" ref="Z53:Z69">IF(AQ53="5",BJ53,0)</f>
        <v>0</v>
      </c>
      <c r="AB53" s="38">
        <f aca="true" t="shared" si="4" ref="AB53:AB69">IF(AQ53="1",BH53,0)</f>
        <v>0</v>
      </c>
      <c r="AC53" s="38">
        <f aca="true" t="shared" si="5" ref="AC53:AC69">IF(AQ53="1",BI53,0)</f>
        <v>0</v>
      </c>
      <c r="AD53" s="38">
        <f aca="true" t="shared" si="6" ref="AD53:AD69">IF(AQ53="7",BH53,0)</f>
        <v>0</v>
      </c>
      <c r="AE53" s="38">
        <f aca="true" t="shared" si="7" ref="AE53:AE69">IF(AQ53="7",BI53,0)</f>
        <v>0</v>
      </c>
      <c r="AF53" s="38">
        <f aca="true" t="shared" si="8" ref="AF53:AF69">IF(AQ53="2",BH53,0)</f>
        <v>0</v>
      </c>
      <c r="AG53" s="38">
        <f aca="true" t="shared" si="9" ref="AG53:AG69">IF(AQ53="2",BI53,0)</f>
        <v>0</v>
      </c>
      <c r="AH53" s="38">
        <f aca="true" t="shared" si="10" ref="AH53:AH69">IF(AQ53="0",BJ53,0)</f>
        <v>0</v>
      </c>
      <c r="AI53" s="37"/>
      <c r="AJ53" s="20">
        <f aca="true" t="shared" si="11" ref="AJ53:AJ69">IF(AN53=0,K53,0)</f>
        <v>0</v>
      </c>
      <c r="AK53" s="20">
        <f aca="true" t="shared" si="12" ref="AK53:AK69">IF(AN53=15,K53,0)</f>
        <v>0</v>
      </c>
      <c r="AL53" s="20">
        <f aca="true" t="shared" si="13" ref="AL53:AL69">IF(AN53=21,K53,0)</f>
        <v>0</v>
      </c>
      <c r="AN53" s="38">
        <v>21</v>
      </c>
      <c r="AO53" s="38">
        <f>H53*0.609150090415913</f>
        <v>0</v>
      </c>
      <c r="AP53" s="38">
        <f>H53*(1-0.609150090415913)</f>
        <v>0</v>
      </c>
      <c r="AQ53" s="39" t="s">
        <v>7</v>
      </c>
      <c r="AV53" s="38">
        <f aca="true" t="shared" si="14" ref="AV53:AV69">AW53+AX53</f>
        <v>0</v>
      </c>
      <c r="AW53" s="38">
        <f aca="true" t="shared" si="15" ref="AW53:AW69">G53*AO53</f>
        <v>0</v>
      </c>
      <c r="AX53" s="38">
        <f aca="true" t="shared" si="16" ref="AX53:AX69">G53*AP53</f>
        <v>0</v>
      </c>
      <c r="AY53" s="41" t="s">
        <v>260</v>
      </c>
      <c r="AZ53" s="41" t="s">
        <v>274</v>
      </c>
      <c r="BA53" s="37" t="s">
        <v>275</v>
      </c>
      <c r="BC53" s="38">
        <f aca="true" t="shared" si="17" ref="BC53:BC69">AW53+AX53</f>
        <v>0</v>
      </c>
      <c r="BD53" s="38">
        <f aca="true" t="shared" si="18" ref="BD53:BD69">H53/(100-BE53)*100</f>
        <v>0</v>
      </c>
      <c r="BE53" s="38">
        <v>0</v>
      </c>
      <c r="BF53" s="38">
        <f>53</f>
        <v>53</v>
      </c>
      <c r="BH53" s="20">
        <f aca="true" t="shared" si="19" ref="BH53:BH69">G53*AO53</f>
        <v>0</v>
      </c>
      <c r="BI53" s="20">
        <f aca="true" t="shared" si="20" ref="BI53:BI69">G53*AP53</f>
        <v>0</v>
      </c>
      <c r="BJ53" s="20">
        <f aca="true" t="shared" si="21" ref="BJ53:BJ69">G53*H53</f>
        <v>0</v>
      </c>
      <c r="BK53" s="20" t="s">
        <v>280</v>
      </c>
      <c r="BL53" s="38">
        <v>91</v>
      </c>
    </row>
    <row r="54" spans="1:64" ht="12.75">
      <c r="A54" s="4" t="s">
        <v>37</v>
      </c>
      <c r="B54" s="13" t="s">
        <v>104</v>
      </c>
      <c r="C54" s="93" t="s">
        <v>177</v>
      </c>
      <c r="D54" s="94"/>
      <c r="E54" s="94"/>
      <c r="F54" s="13" t="s">
        <v>222</v>
      </c>
      <c r="G54" s="20">
        <v>3.06</v>
      </c>
      <c r="H54" s="20">
        <v>0</v>
      </c>
      <c r="I54" s="20">
        <f t="shared" si="0"/>
        <v>0</v>
      </c>
      <c r="J54" s="20">
        <f t="shared" si="1"/>
        <v>0</v>
      </c>
      <c r="K54" s="20">
        <f t="shared" si="2"/>
        <v>0</v>
      </c>
      <c r="L54" s="31" t="s">
        <v>239</v>
      </c>
      <c r="M54" s="35"/>
      <c r="Z54" s="38">
        <f t="shared" si="3"/>
        <v>0</v>
      </c>
      <c r="AB54" s="38">
        <f t="shared" si="4"/>
        <v>0</v>
      </c>
      <c r="AC54" s="38">
        <f t="shared" si="5"/>
        <v>0</v>
      </c>
      <c r="AD54" s="38">
        <f t="shared" si="6"/>
        <v>0</v>
      </c>
      <c r="AE54" s="38">
        <f t="shared" si="7"/>
        <v>0</v>
      </c>
      <c r="AF54" s="38">
        <f t="shared" si="8"/>
        <v>0</v>
      </c>
      <c r="AG54" s="38">
        <f t="shared" si="9"/>
        <v>0</v>
      </c>
      <c r="AH54" s="38">
        <f t="shared" si="10"/>
        <v>0</v>
      </c>
      <c r="AI54" s="37"/>
      <c r="AJ54" s="20">
        <f t="shared" si="11"/>
        <v>0</v>
      </c>
      <c r="AK54" s="20">
        <f t="shared" si="12"/>
        <v>0</v>
      </c>
      <c r="AL54" s="20">
        <f t="shared" si="13"/>
        <v>0</v>
      </c>
      <c r="AN54" s="38">
        <v>21</v>
      </c>
      <c r="AO54" s="38">
        <f>H54*0</f>
        <v>0</v>
      </c>
      <c r="AP54" s="38">
        <f>H54*(1-0)</f>
        <v>0</v>
      </c>
      <c r="AQ54" s="39" t="s">
        <v>7</v>
      </c>
      <c r="AV54" s="38">
        <f t="shared" si="14"/>
        <v>0</v>
      </c>
      <c r="AW54" s="38">
        <f t="shared" si="15"/>
        <v>0</v>
      </c>
      <c r="AX54" s="38">
        <f t="shared" si="16"/>
        <v>0</v>
      </c>
      <c r="AY54" s="41" t="s">
        <v>260</v>
      </c>
      <c r="AZ54" s="41" t="s">
        <v>274</v>
      </c>
      <c r="BA54" s="37" t="s">
        <v>275</v>
      </c>
      <c r="BC54" s="38">
        <f t="shared" si="17"/>
        <v>0</v>
      </c>
      <c r="BD54" s="38">
        <f t="shared" si="18"/>
        <v>0</v>
      </c>
      <c r="BE54" s="38">
        <v>0</v>
      </c>
      <c r="BF54" s="38">
        <f>54</f>
        <v>54</v>
      </c>
      <c r="BH54" s="20">
        <f t="shared" si="19"/>
        <v>0</v>
      </c>
      <c r="BI54" s="20">
        <f t="shared" si="20"/>
        <v>0</v>
      </c>
      <c r="BJ54" s="20">
        <f t="shared" si="21"/>
        <v>0</v>
      </c>
      <c r="BK54" s="20" t="s">
        <v>280</v>
      </c>
      <c r="BL54" s="38">
        <v>91</v>
      </c>
    </row>
    <row r="55" spans="1:64" ht="12.75">
      <c r="A55" s="4" t="s">
        <v>38</v>
      </c>
      <c r="B55" s="13" t="s">
        <v>105</v>
      </c>
      <c r="C55" s="93" t="s">
        <v>178</v>
      </c>
      <c r="D55" s="94"/>
      <c r="E55" s="94"/>
      <c r="F55" s="13" t="s">
        <v>222</v>
      </c>
      <c r="G55" s="20">
        <v>3.825</v>
      </c>
      <c r="H55" s="20">
        <v>0</v>
      </c>
      <c r="I55" s="20">
        <f t="shared" si="0"/>
        <v>0</v>
      </c>
      <c r="J55" s="20">
        <f t="shared" si="1"/>
        <v>0</v>
      </c>
      <c r="K55" s="20">
        <f t="shared" si="2"/>
        <v>0</v>
      </c>
      <c r="L55" s="31" t="s">
        <v>239</v>
      </c>
      <c r="M55" s="35"/>
      <c r="Z55" s="38">
        <f t="shared" si="3"/>
        <v>0</v>
      </c>
      <c r="AB55" s="38">
        <f t="shared" si="4"/>
        <v>0</v>
      </c>
      <c r="AC55" s="38">
        <f t="shared" si="5"/>
        <v>0</v>
      </c>
      <c r="AD55" s="38">
        <f t="shared" si="6"/>
        <v>0</v>
      </c>
      <c r="AE55" s="38">
        <f t="shared" si="7"/>
        <v>0</v>
      </c>
      <c r="AF55" s="38">
        <f t="shared" si="8"/>
        <v>0</v>
      </c>
      <c r="AG55" s="38">
        <f t="shared" si="9"/>
        <v>0</v>
      </c>
      <c r="AH55" s="38">
        <f t="shared" si="10"/>
        <v>0</v>
      </c>
      <c r="AI55" s="37"/>
      <c r="AJ55" s="20">
        <f t="shared" si="11"/>
        <v>0</v>
      </c>
      <c r="AK55" s="20">
        <f t="shared" si="12"/>
        <v>0</v>
      </c>
      <c r="AL55" s="20">
        <f t="shared" si="13"/>
        <v>0</v>
      </c>
      <c r="AN55" s="38">
        <v>21</v>
      </c>
      <c r="AO55" s="38">
        <f>H55*0</f>
        <v>0</v>
      </c>
      <c r="AP55" s="38">
        <f>H55*(1-0)</f>
        <v>0</v>
      </c>
      <c r="AQ55" s="39" t="s">
        <v>7</v>
      </c>
      <c r="AV55" s="38">
        <f t="shared" si="14"/>
        <v>0</v>
      </c>
      <c r="AW55" s="38">
        <f t="shared" si="15"/>
        <v>0</v>
      </c>
      <c r="AX55" s="38">
        <f t="shared" si="16"/>
        <v>0</v>
      </c>
      <c r="AY55" s="41" t="s">
        <v>260</v>
      </c>
      <c r="AZ55" s="41" t="s">
        <v>274</v>
      </c>
      <c r="BA55" s="37" t="s">
        <v>275</v>
      </c>
      <c r="BC55" s="38">
        <f t="shared" si="17"/>
        <v>0</v>
      </c>
      <c r="BD55" s="38">
        <f t="shared" si="18"/>
        <v>0</v>
      </c>
      <c r="BE55" s="38">
        <v>0</v>
      </c>
      <c r="BF55" s="38">
        <f>55</f>
        <v>55</v>
      </c>
      <c r="BH55" s="20">
        <f t="shared" si="19"/>
        <v>0</v>
      </c>
      <c r="BI55" s="20">
        <f t="shared" si="20"/>
        <v>0</v>
      </c>
      <c r="BJ55" s="20">
        <f t="shared" si="21"/>
        <v>0</v>
      </c>
      <c r="BK55" s="20" t="s">
        <v>280</v>
      </c>
      <c r="BL55" s="38">
        <v>91</v>
      </c>
    </row>
    <row r="56" spans="1:64" ht="12.75">
      <c r="A56" s="4" t="s">
        <v>39</v>
      </c>
      <c r="B56" s="13" t="s">
        <v>106</v>
      </c>
      <c r="C56" s="93" t="s">
        <v>179</v>
      </c>
      <c r="D56" s="94"/>
      <c r="E56" s="94"/>
      <c r="F56" s="13" t="s">
        <v>222</v>
      </c>
      <c r="G56" s="20">
        <v>17.6715</v>
      </c>
      <c r="H56" s="20">
        <v>0</v>
      </c>
      <c r="I56" s="20">
        <f t="shared" si="0"/>
        <v>0</v>
      </c>
      <c r="J56" s="20">
        <f t="shared" si="1"/>
        <v>0</v>
      </c>
      <c r="K56" s="20">
        <f t="shared" si="2"/>
        <v>0</v>
      </c>
      <c r="L56" s="31" t="s">
        <v>239</v>
      </c>
      <c r="M56" s="35"/>
      <c r="Z56" s="38">
        <f t="shared" si="3"/>
        <v>0</v>
      </c>
      <c r="AB56" s="38">
        <f t="shared" si="4"/>
        <v>0</v>
      </c>
      <c r="AC56" s="38">
        <f t="shared" si="5"/>
        <v>0</v>
      </c>
      <c r="AD56" s="38">
        <f t="shared" si="6"/>
        <v>0</v>
      </c>
      <c r="AE56" s="38">
        <f t="shared" si="7"/>
        <v>0</v>
      </c>
      <c r="AF56" s="38">
        <f t="shared" si="8"/>
        <v>0</v>
      </c>
      <c r="AG56" s="38">
        <f t="shared" si="9"/>
        <v>0</v>
      </c>
      <c r="AH56" s="38">
        <f t="shared" si="10"/>
        <v>0</v>
      </c>
      <c r="AI56" s="37"/>
      <c r="AJ56" s="20">
        <f t="shared" si="11"/>
        <v>0</v>
      </c>
      <c r="AK56" s="20">
        <f t="shared" si="12"/>
        <v>0</v>
      </c>
      <c r="AL56" s="20">
        <f t="shared" si="13"/>
        <v>0</v>
      </c>
      <c r="AN56" s="38">
        <v>21</v>
      </c>
      <c r="AO56" s="38">
        <f>H56*0</f>
        <v>0</v>
      </c>
      <c r="AP56" s="38">
        <f>H56*(1-0)</f>
        <v>0</v>
      </c>
      <c r="AQ56" s="39" t="s">
        <v>7</v>
      </c>
      <c r="AV56" s="38">
        <f t="shared" si="14"/>
        <v>0</v>
      </c>
      <c r="AW56" s="38">
        <f t="shared" si="15"/>
        <v>0</v>
      </c>
      <c r="AX56" s="38">
        <f t="shared" si="16"/>
        <v>0</v>
      </c>
      <c r="AY56" s="41" t="s">
        <v>260</v>
      </c>
      <c r="AZ56" s="41" t="s">
        <v>274</v>
      </c>
      <c r="BA56" s="37" t="s">
        <v>275</v>
      </c>
      <c r="BC56" s="38">
        <f t="shared" si="17"/>
        <v>0</v>
      </c>
      <c r="BD56" s="38">
        <f t="shared" si="18"/>
        <v>0</v>
      </c>
      <c r="BE56" s="38">
        <v>0</v>
      </c>
      <c r="BF56" s="38">
        <f>56</f>
        <v>56</v>
      </c>
      <c r="BH56" s="20">
        <f t="shared" si="19"/>
        <v>0</v>
      </c>
      <c r="BI56" s="20">
        <f t="shared" si="20"/>
        <v>0</v>
      </c>
      <c r="BJ56" s="20">
        <f t="shared" si="21"/>
        <v>0</v>
      </c>
      <c r="BK56" s="20" t="s">
        <v>280</v>
      </c>
      <c r="BL56" s="38">
        <v>91</v>
      </c>
    </row>
    <row r="57" spans="1:64" ht="12.75">
      <c r="A57" s="4" t="s">
        <v>40</v>
      </c>
      <c r="B57" s="13" t="s">
        <v>107</v>
      </c>
      <c r="C57" s="93" t="s">
        <v>180</v>
      </c>
      <c r="D57" s="94"/>
      <c r="E57" s="94"/>
      <c r="F57" s="13" t="s">
        <v>222</v>
      </c>
      <c r="G57" s="20">
        <v>2.046</v>
      </c>
      <c r="H57" s="20">
        <v>0</v>
      </c>
      <c r="I57" s="20">
        <f t="shared" si="0"/>
        <v>0</v>
      </c>
      <c r="J57" s="20">
        <f t="shared" si="1"/>
        <v>0</v>
      </c>
      <c r="K57" s="20">
        <f t="shared" si="2"/>
        <v>0</v>
      </c>
      <c r="L57" s="31" t="s">
        <v>239</v>
      </c>
      <c r="M57" s="35"/>
      <c r="Z57" s="38">
        <f t="shared" si="3"/>
        <v>0</v>
      </c>
      <c r="AB57" s="38">
        <f t="shared" si="4"/>
        <v>0</v>
      </c>
      <c r="AC57" s="38">
        <f t="shared" si="5"/>
        <v>0</v>
      </c>
      <c r="AD57" s="38">
        <f t="shared" si="6"/>
        <v>0</v>
      </c>
      <c r="AE57" s="38">
        <f t="shared" si="7"/>
        <v>0</v>
      </c>
      <c r="AF57" s="38">
        <f t="shared" si="8"/>
        <v>0</v>
      </c>
      <c r="AG57" s="38">
        <f t="shared" si="9"/>
        <v>0</v>
      </c>
      <c r="AH57" s="38">
        <f t="shared" si="10"/>
        <v>0</v>
      </c>
      <c r="AI57" s="37"/>
      <c r="AJ57" s="20">
        <f t="shared" si="11"/>
        <v>0</v>
      </c>
      <c r="AK57" s="20">
        <f t="shared" si="12"/>
        <v>0</v>
      </c>
      <c r="AL57" s="20">
        <f t="shared" si="13"/>
        <v>0</v>
      </c>
      <c r="AN57" s="38">
        <v>21</v>
      </c>
      <c r="AO57" s="38">
        <f>H57*0</f>
        <v>0</v>
      </c>
      <c r="AP57" s="38">
        <f>H57*(1-0)</f>
        <v>0</v>
      </c>
      <c r="AQ57" s="39" t="s">
        <v>7</v>
      </c>
      <c r="AV57" s="38">
        <f t="shared" si="14"/>
        <v>0</v>
      </c>
      <c r="AW57" s="38">
        <f t="shared" si="15"/>
        <v>0</v>
      </c>
      <c r="AX57" s="38">
        <f t="shared" si="16"/>
        <v>0</v>
      </c>
      <c r="AY57" s="41" t="s">
        <v>260</v>
      </c>
      <c r="AZ57" s="41" t="s">
        <v>274</v>
      </c>
      <c r="BA57" s="37" t="s">
        <v>275</v>
      </c>
      <c r="BC57" s="38">
        <f t="shared" si="17"/>
        <v>0</v>
      </c>
      <c r="BD57" s="38">
        <f t="shared" si="18"/>
        <v>0</v>
      </c>
      <c r="BE57" s="38">
        <v>0</v>
      </c>
      <c r="BF57" s="38">
        <f>57</f>
        <v>57</v>
      </c>
      <c r="BH57" s="20">
        <f t="shared" si="19"/>
        <v>0</v>
      </c>
      <c r="BI57" s="20">
        <f t="shared" si="20"/>
        <v>0</v>
      </c>
      <c r="BJ57" s="20">
        <f t="shared" si="21"/>
        <v>0</v>
      </c>
      <c r="BK57" s="20" t="s">
        <v>280</v>
      </c>
      <c r="BL57" s="38">
        <v>91</v>
      </c>
    </row>
    <row r="58" spans="1:64" ht="12.75">
      <c r="A58" s="4" t="s">
        <v>41</v>
      </c>
      <c r="B58" s="13" t="s">
        <v>108</v>
      </c>
      <c r="C58" s="93" t="s">
        <v>181</v>
      </c>
      <c r="D58" s="94"/>
      <c r="E58" s="94"/>
      <c r="F58" s="13" t="s">
        <v>219</v>
      </c>
      <c r="G58" s="20">
        <v>26.35</v>
      </c>
      <c r="H58" s="20">
        <v>0</v>
      </c>
      <c r="I58" s="20">
        <f t="shared" si="0"/>
        <v>0</v>
      </c>
      <c r="J58" s="20">
        <f t="shared" si="1"/>
        <v>0</v>
      </c>
      <c r="K58" s="20">
        <f t="shared" si="2"/>
        <v>0</v>
      </c>
      <c r="L58" s="31" t="s">
        <v>239</v>
      </c>
      <c r="M58" s="35"/>
      <c r="Z58" s="38">
        <f t="shared" si="3"/>
        <v>0</v>
      </c>
      <c r="AB58" s="38">
        <f t="shared" si="4"/>
        <v>0</v>
      </c>
      <c r="AC58" s="38">
        <f t="shared" si="5"/>
        <v>0</v>
      </c>
      <c r="AD58" s="38">
        <f t="shared" si="6"/>
        <v>0</v>
      </c>
      <c r="AE58" s="38">
        <f t="shared" si="7"/>
        <v>0</v>
      </c>
      <c r="AF58" s="38">
        <f t="shared" si="8"/>
        <v>0</v>
      </c>
      <c r="AG58" s="38">
        <f t="shared" si="9"/>
        <v>0</v>
      </c>
      <c r="AH58" s="38">
        <f t="shared" si="10"/>
        <v>0</v>
      </c>
      <c r="AI58" s="37"/>
      <c r="AJ58" s="20">
        <f t="shared" si="11"/>
        <v>0</v>
      </c>
      <c r="AK58" s="20">
        <f t="shared" si="12"/>
        <v>0</v>
      </c>
      <c r="AL58" s="20">
        <f t="shared" si="13"/>
        <v>0</v>
      </c>
      <c r="AN58" s="38">
        <v>21</v>
      </c>
      <c r="AO58" s="38">
        <f>H58*0</f>
        <v>0</v>
      </c>
      <c r="AP58" s="38">
        <f>H58*(1-0)</f>
        <v>0</v>
      </c>
      <c r="AQ58" s="39" t="s">
        <v>7</v>
      </c>
      <c r="AV58" s="38">
        <f t="shared" si="14"/>
        <v>0</v>
      </c>
      <c r="AW58" s="38">
        <f t="shared" si="15"/>
        <v>0</v>
      </c>
      <c r="AX58" s="38">
        <f t="shared" si="16"/>
        <v>0</v>
      </c>
      <c r="AY58" s="41" t="s">
        <v>260</v>
      </c>
      <c r="AZ58" s="41" t="s">
        <v>274</v>
      </c>
      <c r="BA58" s="37" t="s">
        <v>275</v>
      </c>
      <c r="BC58" s="38">
        <f t="shared" si="17"/>
        <v>0</v>
      </c>
      <c r="BD58" s="38">
        <f t="shared" si="18"/>
        <v>0</v>
      </c>
      <c r="BE58" s="38">
        <v>0</v>
      </c>
      <c r="BF58" s="38">
        <f>58</f>
        <v>58</v>
      </c>
      <c r="BH58" s="20">
        <f t="shared" si="19"/>
        <v>0</v>
      </c>
      <c r="BI58" s="20">
        <f t="shared" si="20"/>
        <v>0</v>
      </c>
      <c r="BJ58" s="20">
        <f t="shared" si="21"/>
        <v>0</v>
      </c>
      <c r="BK58" s="20" t="s">
        <v>280</v>
      </c>
      <c r="BL58" s="38">
        <v>91</v>
      </c>
    </row>
    <row r="59" spans="1:64" ht="12.75">
      <c r="A59" s="4" t="s">
        <v>42</v>
      </c>
      <c r="B59" s="13" t="s">
        <v>109</v>
      </c>
      <c r="C59" s="93" t="s">
        <v>182</v>
      </c>
      <c r="D59" s="94"/>
      <c r="E59" s="94"/>
      <c r="F59" s="13" t="s">
        <v>219</v>
      </c>
      <c r="G59" s="20">
        <v>39.27</v>
      </c>
      <c r="H59" s="20">
        <v>0</v>
      </c>
      <c r="I59" s="20">
        <f t="shared" si="0"/>
        <v>0</v>
      </c>
      <c r="J59" s="20">
        <f t="shared" si="1"/>
        <v>0</v>
      </c>
      <c r="K59" s="20">
        <f t="shared" si="2"/>
        <v>0</v>
      </c>
      <c r="L59" s="31" t="s">
        <v>239</v>
      </c>
      <c r="M59" s="35"/>
      <c r="Z59" s="38">
        <f t="shared" si="3"/>
        <v>0</v>
      </c>
      <c r="AB59" s="38">
        <f t="shared" si="4"/>
        <v>0</v>
      </c>
      <c r="AC59" s="38">
        <f t="shared" si="5"/>
        <v>0</v>
      </c>
      <c r="AD59" s="38">
        <f t="shared" si="6"/>
        <v>0</v>
      </c>
      <c r="AE59" s="38">
        <f t="shared" si="7"/>
        <v>0</v>
      </c>
      <c r="AF59" s="38">
        <f t="shared" si="8"/>
        <v>0</v>
      </c>
      <c r="AG59" s="38">
        <f t="shared" si="9"/>
        <v>0</v>
      </c>
      <c r="AH59" s="38">
        <f t="shared" si="10"/>
        <v>0</v>
      </c>
      <c r="AI59" s="37"/>
      <c r="AJ59" s="20">
        <f t="shared" si="11"/>
        <v>0</v>
      </c>
      <c r="AK59" s="20">
        <f t="shared" si="12"/>
        <v>0</v>
      </c>
      <c r="AL59" s="20">
        <f t="shared" si="13"/>
        <v>0</v>
      </c>
      <c r="AN59" s="38">
        <v>21</v>
      </c>
      <c r="AO59" s="38">
        <f>H59*0.723691186239598</f>
        <v>0</v>
      </c>
      <c r="AP59" s="38">
        <f>H59*(1-0.723691186239598)</f>
        <v>0</v>
      </c>
      <c r="AQ59" s="39" t="s">
        <v>7</v>
      </c>
      <c r="AV59" s="38">
        <f t="shared" si="14"/>
        <v>0</v>
      </c>
      <c r="AW59" s="38">
        <f t="shared" si="15"/>
        <v>0</v>
      </c>
      <c r="AX59" s="38">
        <f t="shared" si="16"/>
        <v>0</v>
      </c>
      <c r="AY59" s="41" t="s">
        <v>260</v>
      </c>
      <c r="AZ59" s="41" t="s">
        <v>274</v>
      </c>
      <c r="BA59" s="37" t="s">
        <v>275</v>
      </c>
      <c r="BC59" s="38">
        <f t="shared" si="17"/>
        <v>0</v>
      </c>
      <c r="BD59" s="38">
        <f t="shared" si="18"/>
        <v>0</v>
      </c>
      <c r="BE59" s="38">
        <v>0</v>
      </c>
      <c r="BF59" s="38">
        <f>59</f>
        <v>59</v>
      </c>
      <c r="BH59" s="20">
        <f t="shared" si="19"/>
        <v>0</v>
      </c>
      <c r="BI59" s="20">
        <f t="shared" si="20"/>
        <v>0</v>
      </c>
      <c r="BJ59" s="20">
        <f t="shared" si="21"/>
        <v>0</v>
      </c>
      <c r="BK59" s="20" t="s">
        <v>280</v>
      </c>
      <c r="BL59" s="38">
        <v>91</v>
      </c>
    </row>
    <row r="60" spans="1:64" ht="12.75">
      <c r="A60" s="4" t="s">
        <v>43</v>
      </c>
      <c r="B60" s="13" t="s">
        <v>110</v>
      </c>
      <c r="C60" s="93" t="s">
        <v>183</v>
      </c>
      <c r="D60" s="94"/>
      <c r="E60" s="94"/>
      <c r="F60" s="13" t="s">
        <v>219</v>
      </c>
      <c r="G60" s="20">
        <v>28.985</v>
      </c>
      <c r="H60" s="20">
        <v>0</v>
      </c>
      <c r="I60" s="20">
        <f t="shared" si="0"/>
        <v>0</v>
      </c>
      <c r="J60" s="20">
        <f t="shared" si="1"/>
        <v>0</v>
      </c>
      <c r="K60" s="20">
        <f t="shared" si="2"/>
        <v>0</v>
      </c>
      <c r="L60" s="31" t="s">
        <v>239</v>
      </c>
      <c r="M60" s="35"/>
      <c r="Z60" s="38">
        <f t="shared" si="3"/>
        <v>0</v>
      </c>
      <c r="AB60" s="38">
        <f t="shared" si="4"/>
        <v>0</v>
      </c>
      <c r="AC60" s="38">
        <f t="shared" si="5"/>
        <v>0</v>
      </c>
      <c r="AD60" s="38">
        <f t="shared" si="6"/>
        <v>0</v>
      </c>
      <c r="AE60" s="38">
        <f t="shared" si="7"/>
        <v>0</v>
      </c>
      <c r="AF60" s="38">
        <f t="shared" si="8"/>
        <v>0</v>
      </c>
      <c r="AG60" s="38">
        <f t="shared" si="9"/>
        <v>0</v>
      </c>
      <c r="AH60" s="38">
        <f t="shared" si="10"/>
        <v>0</v>
      </c>
      <c r="AI60" s="37"/>
      <c r="AJ60" s="20">
        <f t="shared" si="11"/>
        <v>0</v>
      </c>
      <c r="AK60" s="20">
        <f t="shared" si="12"/>
        <v>0</v>
      </c>
      <c r="AL60" s="20">
        <f t="shared" si="13"/>
        <v>0</v>
      </c>
      <c r="AN60" s="38">
        <v>21</v>
      </c>
      <c r="AO60" s="38">
        <f>H60*0.528060053988161</f>
        <v>0</v>
      </c>
      <c r="AP60" s="38">
        <f>H60*(1-0.528060053988161)</f>
        <v>0</v>
      </c>
      <c r="AQ60" s="39" t="s">
        <v>7</v>
      </c>
      <c r="AV60" s="38">
        <f t="shared" si="14"/>
        <v>0</v>
      </c>
      <c r="AW60" s="38">
        <f t="shared" si="15"/>
        <v>0</v>
      </c>
      <c r="AX60" s="38">
        <f t="shared" si="16"/>
        <v>0</v>
      </c>
      <c r="AY60" s="41" t="s">
        <v>260</v>
      </c>
      <c r="AZ60" s="41" t="s">
        <v>274</v>
      </c>
      <c r="BA60" s="37" t="s">
        <v>275</v>
      </c>
      <c r="BC60" s="38">
        <f t="shared" si="17"/>
        <v>0</v>
      </c>
      <c r="BD60" s="38">
        <f t="shared" si="18"/>
        <v>0</v>
      </c>
      <c r="BE60" s="38">
        <v>0</v>
      </c>
      <c r="BF60" s="38">
        <f>60</f>
        <v>60</v>
      </c>
      <c r="BH60" s="20">
        <f t="shared" si="19"/>
        <v>0</v>
      </c>
      <c r="BI60" s="20">
        <f t="shared" si="20"/>
        <v>0</v>
      </c>
      <c r="BJ60" s="20">
        <f t="shared" si="21"/>
        <v>0</v>
      </c>
      <c r="BK60" s="20" t="s">
        <v>280</v>
      </c>
      <c r="BL60" s="38">
        <v>91</v>
      </c>
    </row>
    <row r="61" spans="1:64" ht="12.75">
      <c r="A61" s="4" t="s">
        <v>44</v>
      </c>
      <c r="B61" s="13" t="s">
        <v>111</v>
      </c>
      <c r="C61" s="93" t="s">
        <v>184</v>
      </c>
      <c r="D61" s="94"/>
      <c r="E61" s="94"/>
      <c r="F61" s="13" t="s">
        <v>219</v>
      </c>
      <c r="G61" s="20">
        <v>10.2</v>
      </c>
      <c r="H61" s="20">
        <v>0</v>
      </c>
      <c r="I61" s="20">
        <f t="shared" si="0"/>
        <v>0</v>
      </c>
      <c r="J61" s="20">
        <f t="shared" si="1"/>
        <v>0</v>
      </c>
      <c r="K61" s="20">
        <f t="shared" si="2"/>
        <v>0</v>
      </c>
      <c r="L61" s="31" t="s">
        <v>239</v>
      </c>
      <c r="M61" s="35"/>
      <c r="Z61" s="38">
        <f t="shared" si="3"/>
        <v>0</v>
      </c>
      <c r="AB61" s="38">
        <f t="shared" si="4"/>
        <v>0</v>
      </c>
      <c r="AC61" s="38">
        <f t="shared" si="5"/>
        <v>0</v>
      </c>
      <c r="AD61" s="38">
        <f t="shared" si="6"/>
        <v>0</v>
      </c>
      <c r="AE61" s="38">
        <f t="shared" si="7"/>
        <v>0</v>
      </c>
      <c r="AF61" s="38">
        <f t="shared" si="8"/>
        <v>0</v>
      </c>
      <c r="AG61" s="38">
        <f t="shared" si="9"/>
        <v>0</v>
      </c>
      <c r="AH61" s="38">
        <f t="shared" si="10"/>
        <v>0</v>
      </c>
      <c r="AI61" s="37"/>
      <c r="AJ61" s="20">
        <f t="shared" si="11"/>
        <v>0</v>
      </c>
      <c r="AK61" s="20">
        <f t="shared" si="12"/>
        <v>0</v>
      </c>
      <c r="AL61" s="20">
        <f t="shared" si="13"/>
        <v>0</v>
      </c>
      <c r="AN61" s="38">
        <v>21</v>
      </c>
      <c r="AO61" s="38">
        <f>H61*0.56361216730038</f>
        <v>0</v>
      </c>
      <c r="AP61" s="38">
        <f>H61*(1-0.56361216730038)</f>
        <v>0</v>
      </c>
      <c r="AQ61" s="39" t="s">
        <v>7</v>
      </c>
      <c r="AV61" s="38">
        <f t="shared" si="14"/>
        <v>0</v>
      </c>
      <c r="AW61" s="38">
        <f t="shared" si="15"/>
        <v>0</v>
      </c>
      <c r="AX61" s="38">
        <f t="shared" si="16"/>
        <v>0</v>
      </c>
      <c r="AY61" s="41" t="s">
        <v>260</v>
      </c>
      <c r="AZ61" s="41" t="s">
        <v>274</v>
      </c>
      <c r="BA61" s="37" t="s">
        <v>275</v>
      </c>
      <c r="BC61" s="38">
        <f t="shared" si="17"/>
        <v>0</v>
      </c>
      <c r="BD61" s="38">
        <f t="shared" si="18"/>
        <v>0</v>
      </c>
      <c r="BE61" s="38">
        <v>0</v>
      </c>
      <c r="BF61" s="38">
        <f>61</f>
        <v>61</v>
      </c>
      <c r="BH61" s="20">
        <f t="shared" si="19"/>
        <v>0</v>
      </c>
      <c r="BI61" s="20">
        <f t="shared" si="20"/>
        <v>0</v>
      </c>
      <c r="BJ61" s="20">
        <f t="shared" si="21"/>
        <v>0</v>
      </c>
      <c r="BK61" s="20" t="s">
        <v>280</v>
      </c>
      <c r="BL61" s="38">
        <v>91</v>
      </c>
    </row>
    <row r="62" spans="1:64" ht="12.75">
      <c r="A62" s="4" t="s">
        <v>45</v>
      </c>
      <c r="B62" s="13" t="s">
        <v>112</v>
      </c>
      <c r="C62" s="93" t="s">
        <v>185</v>
      </c>
      <c r="D62" s="94"/>
      <c r="E62" s="94"/>
      <c r="F62" s="13" t="s">
        <v>220</v>
      </c>
      <c r="G62" s="20">
        <v>17</v>
      </c>
      <c r="H62" s="20">
        <v>0</v>
      </c>
      <c r="I62" s="20">
        <f t="shared" si="0"/>
        <v>0</v>
      </c>
      <c r="J62" s="20">
        <f t="shared" si="1"/>
        <v>0</v>
      </c>
      <c r="K62" s="20">
        <f t="shared" si="2"/>
        <v>0</v>
      </c>
      <c r="L62" s="31" t="s">
        <v>239</v>
      </c>
      <c r="M62" s="35"/>
      <c r="Z62" s="38">
        <f t="shared" si="3"/>
        <v>0</v>
      </c>
      <c r="AB62" s="38">
        <f t="shared" si="4"/>
        <v>0</v>
      </c>
      <c r="AC62" s="38">
        <f t="shared" si="5"/>
        <v>0</v>
      </c>
      <c r="AD62" s="38">
        <f t="shared" si="6"/>
        <v>0</v>
      </c>
      <c r="AE62" s="38">
        <f t="shared" si="7"/>
        <v>0</v>
      </c>
      <c r="AF62" s="38">
        <f t="shared" si="8"/>
        <v>0</v>
      </c>
      <c r="AG62" s="38">
        <f t="shared" si="9"/>
        <v>0</v>
      </c>
      <c r="AH62" s="38">
        <f t="shared" si="10"/>
        <v>0</v>
      </c>
      <c r="AI62" s="37"/>
      <c r="AJ62" s="20">
        <f t="shared" si="11"/>
        <v>0</v>
      </c>
      <c r="AK62" s="20">
        <f t="shared" si="12"/>
        <v>0</v>
      </c>
      <c r="AL62" s="20">
        <f t="shared" si="13"/>
        <v>0</v>
      </c>
      <c r="AN62" s="38">
        <v>21</v>
      </c>
      <c r="AO62" s="38">
        <f>H62*0.0525217391304348</f>
        <v>0</v>
      </c>
      <c r="AP62" s="38">
        <f>H62*(1-0.0525217391304348)</f>
        <v>0</v>
      </c>
      <c r="AQ62" s="39" t="s">
        <v>7</v>
      </c>
      <c r="AV62" s="38">
        <f t="shared" si="14"/>
        <v>0</v>
      </c>
      <c r="AW62" s="38">
        <f t="shared" si="15"/>
        <v>0</v>
      </c>
      <c r="AX62" s="38">
        <f t="shared" si="16"/>
        <v>0</v>
      </c>
      <c r="AY62" s="41" t="s">
        <v>260</v>
      </c>
      <c r="AZ62" s="41" t="s">
        <v>274</v>
      </c>
      <c r="BA62" s="37" t="s">
        <v>275</v>
      </c>
      <c r="BC62" s="38">
        <f t="shared" si="17"/>
        <v>0</v>
      </c>
      <c r="BD62" s="38">
        <f t="shared" si="18"/>
        <v>0</v>
      </c>
      <c r="BE62" s="38">
        <v>0</v>
      </c>
      <c r="BF62" s="38">
        <f>62</f>
        <v>62</v>
      </c>
      <c r="BH62" s="20">
        <f t="shared" si="19"/>
        <v>0</v>
      </c>
      <c r="BI62" s="20">
        <f t="shared" si="20"/>
        <v>0</v>
      </c>
      <c r="BJ62" s="20">
        <f t="shared" si="21"/>
        <v>0</v>
      </c>
      <c r="BK62" s="20" t="s">
        <v>280</v>
      </c>
      <c r="BL62" s="38">
        <v>91</v>
      </c>
    </row>
    <row r="63" spans="1:64" ht="12.75">
      <c r="A63" s="4" t="s">
        <v>46</v>
      </c>
      <c r="B63" s="13" t="s">
        <v>113</v>
      </c>
      <c r="C63" s="93" t="s">
        <v>186</v>
      </c>
      <c r="D63" s="94"/>
      <c r="E63" s="94"/>
      <c r="F63" s="13" t="s">
        <v>219</v>
      </c>
      <c r="G63" s="20">
        <v>88.32</v>
      </c>
      <c r="H63" s="20">
        <v>0</v>
      </c>
      <c r="I63" s="20">
        <f t="shared" si="0"/>
        <v>0</v>
      </c>
      <c r="J63" s="20">
        <f t="shared" si="1"/>
        <v>0</v>
      </c>
      <c r="K63" s="20">
        <f t="shared" si="2"/>
        <v>0</v>
      </c>
      <c r="L63" s="31" t="s">
        <v>239</v>
      </c>
      <c r="M63" s="35"/>
      <c r="Z63" s="38">
        <f t="shared" si="3"/>
        <v>0</v>
      </c>
      <c r="AB63" s="38">
        <f t="shared" si="4"/>
        <v>0</v>
      </c>
      <c r="AC63" s="38">
        <f t="shared" si="5"/>
        <v>0</v>
      </c>
      <c r="AD63" s="38">
        <f t="shared" si="6"/>
        <v>0</v>
      </c>
      <c r="AE63" s="38">
        <f t="shared" si="7"/>
        <v>0</v>
      </c>
      <c r="AF63" s="38">
        <f t="shared" si="8"/>
        <v>0</v>
      </c>
      <c r="AG63" s="38">
        <f t="shared" si="9"/>
        <v>0</v>
      </c>
      <c r="AH63" s="38">
        <f t="shared" si="10"/>
        <v>0</v>
      </c>
      <c r="AI63" s="37"/>
      <c r="AJ63" s="20">
        <f t="shared" si="11"/>
        <v>0</v>
      </c>
      <c r="AK63" s="20">
        <f t="shared" si="12"/>
        <v>0</v>
      </c>
      <c r="AL63" s="20">
        <f t="shared" si="13"/>
        <v>0</v>
      </c>
      <c r="AN63" s="38">
        <v>21</v>
      </c>
      <c r="AO63" s="38">
        <f>H63*0.299105959399793</f>
        <v>0</v>
      </c>
      <c r="AP63" s="38">
        <f>H63*(1-0.299105959399793)</f>
        <v>0</v>
      </c>
      <c r="AQ63" s="39" t="s">
        <v>7</v>
      </c>
      <c r="AV63" s="38">
        <f t="shared" si="14"/>
        <v>0</v>
      </c>
      <c r="AW63" s="38">
        <f t="shared" si="15"/>
        <v>0</v>
      </c>
      <c r="AX63" s="38">
        <f t="shared" si="16"/>
        <v>0</v>
      </c>
      <c r="AY63" s="41" t="s">
        <v>260</v>
      </c>
      <c r="AZ63" s="41" t="s">
        <v>274</v>
      </c>
      <c r="BA63" s="37" t="s">
        <v>275</v>
      </c>
      <c r="BC63" s="38">
        <f t="shared" si="17"/>
        <v>0</v>
      </c>
      <c r="BD63" s="38">
        <f t="shared" si="18"/>
        <v>0</v>
      </c>
      <c r="BE63" s="38">
        <v>0</v>
      </c>
      <c r="BF63" s="38">
        <f>63</f>
        <v>63</v>
      </c>
      <c r="BH63" s="20">
        <f t="shared" si="19"/>
        <v>0</v>
      </c>
      <c r="BI63" s="20">
        <f t="shared" si="20"/>
        <v>0</v>
      </c>
      <c r="BJ63" s="20">
        <f t="shared" si="21"/>
        <v>0</v>
      </c>
      <c r="BK63" s="20" t="s">
        <v>280</v>
      </c>
      <c r="BL63" s="38">
        <v>91</v>
      </c>
    </row>
    <row r="64" spans="1:64" ht="12.75">
      <c r="A64" s="4" t="s">
        <v>47</v>
      </c>
      <c r="B64" s="13" t="s">
        <v>114</v>
      </c>
      <c r="C64" s="93" t="s">
        <v>187</v>
      </c>
      <c r="D64" s="94"/>
      <c r="E64" s="94"/>
      <c r="F64" s="13" t="s">
        <v>220</v>
      </c>
      <c r="G64" s="20">
        <v>20.5</v>
      </c>
      <c r="H64" s="20">
        <v>0</v>
      </c>
      <c r="I64" s="20">
        <f t="shared" si="0"/>
        <v>0</v>
      </c>
      <c r="J64" s="20">
        <f t="shared" si="1"/>
        <v>0</v>
      </c>
      <c r="K64" s="20">
        <f t="shared" si="2"/>
        <v>0</v>
      </c>
      <c r="L64" s="31" t="s">
        <v>239</v>
      </c>
      <c r="M64" s="35"/>
      <c r="Z64" s="38">
        <f t="shared" si="3"/>
        <v>0</v>
      </c>
      <c r="AB64" s="38">
        <f t="shared" si="4"/>
        <v>0</v>
      </c>
      <c r="AC64" s="38">
        <f t="shared" si="5"/>
        <v>0</v>
      </c>
      <c r="AD64" s="38">
        <f t="shared" si="6"/>
        <v>0</v>
      </c>
      <c r="AE64" s="38">
        <f t="shared" si="7"/>
        <v>0</v>
      </c>
      <c r="AF64" s="38">
        <f t="shared" si="8"/>
        <v>0</v>
      </c>
      <c r="AG64" s="38">
        <f t="shared" si="9"/>
        <v>0</v>
      </c>
      <c r="AH64" s="38">
        <f t="shared" si="10"/>
        <v>0</v>
      </c>
      <c r="AI64" s="37"/>
      <c r="AJ64" s="20">
        <f t="shared" si="11"/>
        <v>0</v>
      </c>
      <c r="AK64" s="20">
        <f t="shared" si="12"/>
        <v>0</v>
      </c>
      <c r="AL64" s="20">
        <f t="shared" si="13"/>
        <v>0</v>
      </c>
      <c r="AN64" s="38">
        <v>21</v>
      </c>
      <c r="AO64" s="38">
        <f>H64*0.397804036069752</f>
        <v>0</v>
      </c>
      <c r="AP64" s="38">
        <f>H64*(1-0.397804036069752)</f>
        <v>0</v>
      </c>
      <c r="AQ64" s="39" t="s">
        <v>7</v>
      </c>
      <c r="AV64" s="38">
        <f t="shared" si="14"/>
        <v>0</v>
      </c>
      <c r="AW64" s="38">
        <f t="shared" si="15"/>
        <v>0</v>
      </c>
      <c r="AX64" s="38">
        <f t="shared" si="16"/>
        <v>0</v>
      </c>
      <c r="AY64" s="41" t="s">
        <v>260</v>
      </c>
      <c r="AZ64" s="41" t="s">
        <v>274</v>
      </c>
      <c r="BA64" s="37" t="s">
        <v>275</v>
      </c>
      <c r="BC64" s="38">
        <f t="shared" si="17"/>
        <v>0</v>
      </c>
      <c r="BD64" s="38">
        <f t="shared" si="18"/>
        <v>0</v>
      </c>
      <c r="BE64" s="38">
        <v>0</v>
      </c>
      <c r="BF64" s="38">
        <f>64</f>
        <v>64</v>
      </c>
      <c r="BH64" s="20">
        <f t="shared" si="19"/>
        <v>0</v>
      </c>
      <c r="BI64" s="20">
        <f t="shared" si="20"/>
        <v>0</v>
      </c>
      <c r="BJ64" s="20">
        <f t="shared" si="21"/>
        <v>0</v>
      </c>
      <c r="BK64" s="20" t="s">
        <v>280</v>
      </c>
      <c r="BL64" s="38">
        <v>91</v>
      </c>
    </row>
    <row r="65" spans="1:64" ht="12.75">
      <c r="A65" s="4" t="s">
        <v>48</v>
      </c>
      <c r="B65" s="13" t="s">
        <v>115</v>
      </c>
      <c r="C65" s="93" t="s">
        <v>188</v>
      </c>
      <c r="D65" s="94"/>
      <c r="E65" s="94"/>
      <c r="F65" s="13" t="s">
        <v>222</v>
      </c>
      <c r="G65" s="20">
        <v>18.96</v>
      </c>
      <c r="H65" s="20">
        <v>0</v>
      </c>
      <c r="I65" s="20">
        <f t="shared" si="0"/>
        <v>0</v>
      </c>
      <c r="J65" s="20">
        <f t="shared" si="1"/>
        <v>0</v>
      </c>
      <c r="K65" s="20">
        <f t="shared" si="2"/>
        <v>0</v>
      </c>
      <c r="L65" s="31" t="s">
        <v>239</v>
      </c>
      <c r="M65" s="35"/>
      <c r="Z65" s="38">
        <f t="shared" si="3"/>
        <v>0</v>
      </c>
      <c r="AB65" s="38">
        <f t="shared" si="4"/>
        <v>0</v>
      </c>
      <c r="AC65" s="38">
        <f t="shared" si="5"/>
        <v>0</v>
      </c>
      <c r="AD65" s="38">
        <f t="shared" si="6"/>
        <v>0</v>
      </c>
      <c r="AE65" s="38">
        <f t="shared" si="7"/>
        <v>0</v>
      </c>
      <c r="AF65" s="38">
        <f t="shared" si="8"/>
        <v>0</v>
      </c>
      <c r="AG65" s="38">
        <f t="shared" si="9"/>
        <v>0</v>
      </c>
      <c r="AH65" s="38">
        <f t="shared" si="10"/>
        <v>0</v>
      </c>
      <c r="AI65" s="37"/>
      <c r="AJ65" s="20">
        <f t="shared" si="11"/>
        <v>0</v>
      </c>
      <c r="AK65" s="20">
        <f t="shared" si="12"/>
        <v>0</v>
      </c>
      <c r="AL65" s="20">
        <f t="shared" si="13"/>
        <v>0</v>
      </c>
      <c r="AN65" s="38">
        <v>21</v>
      </c>
      <c r="AO65" s="38">
        <f>H65*0.516837881219904</f>
        <v>0</v>
      </c>
      <c r="AP65" s="38">
        <f>H65*(1-0.516837881219904)</f>
        <v>0</v>
      </c>
      <c r="AQ65" s="39" t="s">
        <v>7</v>
      </c>
      <c r="AV65" s="38">
        <f t="shared" si="14"/>
        <v>0</v>
      </c>
      <c r="AW65" s="38">
        <f t="shared" si="15"/>
        <v>0</v>
      </c>
      <c r="AX65" s="38">
        <f t="shared" si="16"/>
        <v>0</v>
      </c>
      <c r="AY65" s="41" t="s">
        <v>260</v>
      </c>
      <c r="AZ65" s="41" t="s">
        <v>274</v>
      </c>
      <c r="BA65" s="37" t="s">
        <v>275</v>
      </c>
      <c r="BC65" s="38">
        <f t="shared" si="17"/>
        <v>0</v>
      </c>
      <c r="BD65" s="38">
        <f t="shared" si="18"/>
        <v>0</v>
      </c>
      <c r="BE65" s="38">
        <v>0</v>
      </c>
      <c r="BF65" s="38">
        <f>65</f>
        <v>65</v>
      </c>
      <c r="BH65" s="20">
        <f t="shared" si="19"/>
        <v>0</v>
      </c>
      <c r="BI65" s="20">
        <f t="shared" si="20"/>
        <v>0</v>
      </c>
      <c r="BJ65" s="20">
        <f t="shared" si="21"/>
        <v>0</v>
      </c>
      <c r="BK65" s="20" t="s">
        <v>280</v>
      </c>
      <c r="BL65" s="38">
        <v>91</v>
      </c>
    </row>
    <row r="66" spans="1:64" ht="12.75">
      <c r="A66" s="4" t="s">
        <v>49</v>
      </c>
      <c r="B66" s="13" t="s">
        <v>116</v>
      </c>
      <c r="C66" s="93" t="s">
        <v>189</v>
      </c>
      <c r="D66" s="94"/>
      <c r="E66" s="94"/>
      <c r="F66" s="13" t="s">
        <v>219</v>
      </c>
      <c r="G66" s="20">
        <v>80</v>
      </c>
      <c r="H66" s="20">
        <v>0</v>
      </c>
      <c r="I66" s="20">
        <f t="shared" si="0"/>
        <v>0</v>
      </c>
      <c r="J66" s="20">
        <f t="shared" si="1"/>
        <v>0</v>
      </c>
      <c r="K66" s="20">
        <f t="shared" si="2"/>
        <v>0</v>
      </c>
      <c r="L66" s="31" t="s">
        <v>239</v>
      </c>
      <c r="M66" s="35"/>
      <c r="Z66" s="38">
        <f t="shared" si="3"/>
        <v>0</v>
      </c>
      <c r="AB66" s="38">
        <f t="shared" si="4"/>
        <v>0</v>
      </c>
      <c r="AC66" s="38">
        <f t="shared" si="5"/>
        <v>0</v>
      </c>
      <c r="AD66" s="38">
        <f t="shared" si="6"/>
        <v>0</v>
      </c>
      <c r="AE66" s="38">
        <f t="shared" si="7"/>
        <v>0</v>
      </c>
      <c r="AF66" s="38">
        <f t="shared" si="8"/>
        <v>0</v>
      </c>
      <c r="AG66" s="38">
        <f t="shared" si="9"/>
        <v>0</v>
      </c>
      <c r="AH66" s="38">
        <f t="shared" si="10"/>
        <v>0</v>
      </c>
      <c r="AI66" s="37"/>
      <c r="AJ66" s="20">
        <f t="shared" si="11"/>
        <v>0</v>
      </c>
      <c r="AK66" s="20">
        <f t="shared" si="12"/>
        <v>0</v>
      </c>
      <c r="AL66" s="20">
        <f t="shared" si="13"/>
        <v>0</v>
      </c>
      <c r="AN66" s="38">
        <v>21</v>
      </c>
      <c r="AO66" s="38">
        <f>H66*0</f>
        <v>0</v>
      </c>
      <c r="AP66" s="38">
        <f>H66*(1-0)</f>
        <v>0</v>
      </c>
      <c r="AQ66" s="39" t="s">
        <v>7</v>
      </c>
      <c r="AV66" s="38">
        <f t="shared" si="14"/>
        <v>0</v>
      </c>
      <c r="AW66" s="38">
        <f t="shared" si="15"/>
        <v>0</v>
      </c>
      <c r="AX66" s="38">
        <f t="shared" si="16"/>
        <v>0</v>
      </c>
      <c r="AY66" s="41" t="s">
        <v>260</v>
      </c>
      <c r="AZ66" s="41" t="s">
        <v>274</v>
      </c>
      <c r="BA66" s="37" t="s">
        <v>275</v>
      </c>
      <c r="BC66" s="38">
        <f t="shared" si="17"/>
        <v>0</v>
      </c>
      <c r="BD66" s="38">
        <f t="shared" si="18"/>
        <v>0</v>
      </c>
      <c r="BE66" s="38">
        <v>0</v>
      </c>
      <c r="BF66" s="38">
        <f>66</f>
        <v>66</v>
      </c>
      <c r="BH66" s="20">
        <f t="shared" si="19"/>
        <v>0</v>
      </c>
      <c r="BI66" s="20">
        <f t="shared" si="20"/>
        <v>0</v>
      </c>
      <c r="BJ66" s="20">
        <f t="shared" si="21"/>
        <v>0</v>
      </c>
      <c r="BK66" s="20" t="s">
        <v>280</v>
      </c>
      <c r="BL66" s="38">
        <v>91</v>
      </c>
    </row>
    <row r="67" spans="1:64" ht="12.75">
      <c r="A67" s="4" t="s">
        <v>50</v>
      </c>
      <c r="B67" s="13" t="s">
        <v>117</v>
      </c>
      <c r="C67" s="93" t="s">
        <v>190</v>
      </c>
      <c r="D67" s="94"/>
      <c r="E67" s="94"/>
      <c r="F67" s="13" t="s">
        <v>220</v>
      </c>
      <c r="G67" s="20">
        <v>17.5</v>
      </c>
      <c r="H67" s="20">
        <v>0</v>
      </c>
      <c r="I67" s="20">
        <f t="shared" si="0"/>
        <v>0</v>
      </c>
      <c r="J67" s="20">
        <f t="shared" si="1"/>
        <v>0</v>
      </c>
      <c r="K67" s="20">
        <f t="shared" si="2"/>
        <v>0</v>
      </c>
      <c r="L67" s="31" t="s">
        <v>239</v>
      </c>
      <c r="M67" s="35"/>
      <c r="Z67" s="38">
        <f t="shared" si="3"/>
        <v>0</v>
      </c>
      <c r="AB67" s="38">
        <f t="shared" si="4"/>
        <v>0</v>
      </c>
      <c r="AC67" s="38">
        <f t="shared" si="5"/>
        <v>0</v>
      </c>
      <c r="AD67" s="38">
        <f t="shared" si="6"/>
        <v>0</v>
      </c>
      <c r="AE67" s="38">
        <f t="shared" si="7"/>
        <v>0</v>
      </c>
      <c r="AF67" s="38">
        <f t="shared" si="8"/>
        <v>0</v>
      </c>
      <c r="AG67" s="38">
        <f t="shared" si="9"/>
        <v>0</v>
      </c>
      <c r="AH67" s="38">
        <f t="shared" si="10"/>
        <v>0</v>
      </c>
      <c r="AI67" s="37"/>
      <c r="AJ67" s="20">
        <f t="shared" si="11"/>
        <v>0</v>
      </c>
      <c r="AK67" s="20">
        <f t="shared" si="12"/>
        <v>0</v>
      </c>
      <c r="AL67" s="20">
        <f t="shared" si="13"/>
        <v>0</v>
      </c>
      <c r="AN67" s="38">
        <v>21</v>
      </c>
      <c r="AO67" s="38">
        <f>H67*0.754753950558166</f>
        <v>0</v>
      </c>
      <c r="AP67" s="38">
        <f>H67*(1-0.754753950558166)</f>
        <v>0</v>
      </c>
      <c r="AQ67" s="39" t="s">
        <v>7</v>
      </c>
      <c r="AV67" s="38">
        <f t="shared" si="14"/>
        <v>0</v>
      </c>
      <c r="AW67" s="38">
        <f t="shared" si="15"/>
        <v>0</v>
      </c>
      <c r="AX67" s="38">
        <f t="shared" si="16"/>
        <v>0</v>
      </c>
      <c r="AY67" s="41" t="s">
        <v>260</v>
      </c>
      <c r="AZ67" s="41" t="s">
        <v>274</v>
      </c>
      <c r="BA67" s="37" t="s">
        <v>275</v>
      </c>
      <c r="BC67" s="38">
        <f t="shared" si="17"/>
        <v>0</v>
      </c>
      <c r="BD67" s="38">
        <f t="shared" si="18"/>
        <v>0</v>
      </c>
      <c r="BE67" s="38">
        <v>0</v>
      </c>
      <c r="BF67" s="38">
        <f>67</f>
        <v>67</v>
      </c>
      <c r="BH67" s="20">
        <f t="shared" si="19"/>
        <v>0</v>
      </c>
      <c r="BI67" s="20">
        <f t="shared" si="20"/>
        <v>0</v>
      </c>
      <c r="BJ67" s="20">
        <f t="shared" si="21"/>
        <v>0</v>
      </c>
      <c r="BK67" s="20" t="s">
        <v>280</v>
      </c>
      <c r="BL67" s="38">
        <v>91</v>
      </c>
    </row>
    <row r="68" spans="1:64" ht="12.75">
      <c r="A68" s="4" t="s">
        <v>51</v>
      </c>
      <c r="B68" s="13" t="s">
        <v>118</v>
      </c>
      <c r="C68" s="93" t="s">
        <v>191</v>
      </c>
      <c r="D68" s="94"/>
      <c r="E68" s="94"/>
      <c r="F68" s="13" t="s">
        <v>220</v>
      </c>
      <c r="G68" s="20">
        <v>7.4</v>
      </c>
      <c r="H68" s="20">
        <v>0</v>
      </c>
      <c r="I68" s="20">
        <f t="shared" si="0"/>
        <v>0</v>
      </c>
      <c r="J68" s="20">
        <f t="shared" si="1"/>
        <v>0</v>
      </c>
      <c r="K68" s="20">
        <f t="shared" si="2"/>
        <v>0</v>
      </c>
      <c r="L68" s="31" t="s">
        <v>239</v>
      </c>
      <c r="M68" s="35"/>
      <c r="Z68" s="38">
        <f t="shared" si="3"/>
        <v>0</v>
      </c>
      <c r="AB68" s="38">
        <f t="shared" si="4"/>
        <v>0</v>
      </c>
      <c r="AC68" s="38">
        <f t="shared" si="5"/>
        <v>0</v>
      </c>
      <c r="AD68" s="38">
        <f t="shared" si="6"/>
        <v>0</v>
      </c>
      <c r="AE68" s="38">
        <f t="shared" si="7"/>
        <v>0</v>
      </c>
      <c r="AF68" s="38">
        <f t="shared" si="8"/>
        <v>0</v>
      </c>
      <c r="AG68" s="38">
        <f t="shared" si="9"/>
        <v>0</v>
      </c>
      <c r="AH68" s="38">
        <f t="shared" si="10"/>
        <v>0</v>
      </c>
      <c r="AI68" s="37"/>
      <c r="AJ68" s="20">
        <f t="shared" si="11"/>
        <v>0</v>
      </c>
      <c r="AK68" s="20">
        <f t="shared" si="12"/>
        <v>0</v>
      </c>
      <c r="AL68" s="20">
        <f t="shared" si="13"/>
        <v>0</v>
      </c>
      <c r="AN68" s="38">
        <v>21</v>
      </c>
      <c r="AO68" s="38">
        <f>H68*0.232878048780488</f>
        <v>0</v>
      </c>
      <c r="AP68" s="38">
        <f>H68*(1-0.232878048780488)</f>
        <v>0</v>
      </c>
      <c r="AQ68" s="39" t="s">
        <v>8</v>
      </c>
      <c r="AV68" s="38">
        <f t="shared" si="14"/>
        <v>0</v>
      </c>
      <c r="AW68" s="38">
        <f t="shared" si="15"/>
        <v>0</v>
      </c>
      <c r="AX68" s="38">
        <f t="shared" si="16"/>
        <v>0</v>
      </c>
      <c r="AY68" s="41" t="s">
        <v>260</v>
      </c>
      <c r="AZ68" s="41" t="s">
        <v>274</v>
      </c>
      <c r="BA68" s="37" t="s">
        <v>275</v>
      </c>
      <c r="BC68" s="38">
        <f t="shared" si="17"/>
        <v>0</v>
      </c>
      <c r="BD68" s="38">
        <f t="shared" si="18"/>
        <v>0</v>
      </c>
      <c r="BE68" s="38">
        <v>0</v>
      </c>
      <c r="BF68" s="38">
        <f>68</f>
        <v>68</v>
      </c>
      <c r="BH68" s="20">
        <f t="shared" si="19"/>
        <v>0</v>
      </c>
      <c r="BI68" s="20">
        <f t="shared" si="20"/>
        <v>0</v>
      </c>
      <c r="BJ68" s="20">
        <f t="shared" si="21"/>
        <v>0</v>
      </c>
      <c r="BK68" s="20" t="s">
        <v>280</v>
      </c>
      <c r="BL68" s="38">
        <v>91</v>
      </c>
    </row>
    <row r="69" spans="1:64" ht="12.75">
      <c r="A69" s="4" t="s">
        <v>52</v>
      </c>
      <c r="B69" s="13" t="s">
        <v>119</v>
      </c>
      <c r="C69" s="93" t="s">
        <v>192</v>
      </c>
      <c r="D69" s="94"/>
      <c r="E69" s="94"/>
      <c r="F69" s="13" t="s">
        <v>222</v>
      </c>
      <c r="G69" s="20">
        <v>0.14</v>
      </c>
      <c r="H69" s="20">
        <v>0</v>
      </c>
      <c r="I69" s="20">
        <f t="shared" si="0"/>
        <v>0</v>
      </c>
      <c r="J69" s="20">
        <f t="shared" si="1"/>
        <v>0</v>
      </c>
      <c r="K69" s="20">
        <f t="shared" si="2"/>
        <v>0</v>
      </c>
      <c r="L69" s="31" t="s">
        <v>239</v>
      </c>
      <c r="M69" s="35"/>
      <c r="Z69" s="38">
        <f t="shared" si="3"/>
        <v>0</v>
      </c>
      <c r="AB69" s="38">
        <f t="shared" si="4"/>
        <v>0</v>
      </c>
      <c r="AC69" s="38">
        <f t="shared" si="5"/>
        <v>0</v>
      </c>
      <c r="AD69" s="38">
        <f t="shared" si="6"/>
        <v>0</v>
      </c>
      <c r="AE69" s="38">
        <f t="shared" si="7"/>
        <v>0</v>
      </c>
      <c r="AF69" s="38">
        <f t="shared" si="8"/>
        <v>0</v>
      </c>
      <c r="AG69" s="38">
        <f t="shared" si="9"/>
        <v>0</v>
      </c>
      <c r="AH69" s="38">
        <f t="shared" si="10"/>
        <v>0</v>
      </c>
      <c r="AI69" s="37"/>
      <c r="AJ69" s="20">
        <f t="shared" si="11"/>
        <v>0</v>
      </c>
      <c r="AK69" s="20">
        <f t="shared" si="12"/>
        <v>0</v>
      </c>
      <c r="AL69" s="20">
        <f t="shared" si="13"/>
        <v>0</v>
      </c>
      <c r="AN69" s="38">
        <v>21</v>
      </c>
      <c r="AO69" s="38">
        <f>H69*0</f>
        <v>0</v>
      </c>
      <c r="AP69" s="38">
        <f>H69*(1-0)</f>
        <v>0</v>
      </c>
      <c r="AQ69" s="39" t="s">
        <v>7</v>
      </c>
      <c r="AV69" s="38">
        <f t="shared" si="14"/>
        <v>0</v>
      </c>
      <c r="AW69" s="38">
        <f t="shared" si="15"/>
        <v>0</v>
      </c>
      <c r="AX69" s="38">
        <f t="shared" si="16"/>
        <v>0</v>
      </c>
      <c r="AY69" s="41" t="s">
        <v>260</v>
      </c>
      <c r="AZ69" s="41" t="s">
        <v>274</v>
      </c>
      <c r="BA69" s="37" t="s">
        <v>275</v>
      </c>
      <c r="BC69" s="38">
        <f t="shared" si="17"/>
        <v>0</v>
      </c>
      <c r="BD69" s="38">
        <f t="shared" si="18"/>
        <v>0</v>
      </c>
      <c r="BE69" s="38">
        <v>0</v>
      </c>
      <c r="BF69" s="38">
        <f>69</f>
        <v>69</v>
      </c>
      <c r="BH69" s="20">
        <f t="shared" si="19"/>
        <v>0</v>
      </c>
      <c r="BI69" s="20">
        <f t="shared" si="20"/>
        <v>0</v>
      </c>
      <c r="BJ69" s="20">
        <f t="shared" si="21"/>
        <v>0</v>
      </c>
      <c r="BK69" s="20" t="s">
        <v>280</v>
      </c>
      <c r="BL69" s="38">
        <v>91</v>
      </c>
    </row>
    <row r="70" spans="1:47" ht="12.75">
      <c r="A70" s="5"/>
      <c r="B70" s="14" t="s">
        <v>120</v>
      </c>
      <c r="C70" s="95" t="s">
        <v>193</v>
      </c>
      <c r="D70" s="96"/>
      <c r="E70" s="96"/>
      <c r="F70" s="18" t="s">
        <v>6</v>
      </c>
      <c r="G70" s="18" t="s">
        <v>6</v>
      </c>
      <c r="H70" s="18" t="s">
        <v>6</v>
      </c>
      <c r="I70" s="44">
        <f>SUM(I71:I71)</f>
        <v>0</v>
      </c>
      <c r="J70" s="44">
        <f>SUM(J71:J71)</f>
        <v>0</v>
      </c>
      <c r="K70" s="44">
        <f>SUM(K71:K71)</f>
        <v>0</v>
      </c>
      <c r="L70" s="32"/>
      <c r="M70" s="35"/>
      <c r="AI70" s="37"/>
      <c r="AS70" s="44">
        <f>SUM(AJ71:AJ71)</f>
        <v>0</v>
      </c>
      <c r="AT70" s="44">
        <f>SUM(AK71:AK71)</f>
        <v>0</v>
      </c>
      <c r="AU70" s="44">
        <f>SUM(AL71:AL71)</f>
        <v>0</v>
      </c>
    </row>
    <row r="71" spans="1:64" ht="12.75">
      <c r="A71" s="4" t="s">
        <v>53</v>
      </c>
      <c r="B71" s="13" t="s">
        <v>121</v>
      </c>
      <c r="C71" s="93" t="s">
        <v>194</v>
      </c>
      <c r="D71" s="94"/>
      <c r="E71" s="94"/>
      <c r="F71" s="13" t="s">
        <v>219</v>
      </c>
      <c r="G71" s="20">
        <v>140</v>
      </c>
      <c r="H71" s="20">
        <v>0</v>
      </c>
      <c r="I71" s="20">
        <f>G71*AO71</f>
        <v>0</v>
      </c>
      <c r="J71" s="20">
        <f>G71*AP71</f>
        <v>0</v>
      </c>
      <c r="K71" s="20">
        <f>G71*H71</f>
        <v>0</v>
      </c>
      <c r="L71" s="31" t="s">
        <v>239</v>
      </c>
      <c r="M71" s="35"/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37"/>
      <c r="AJ71" s="20">
        <f>IF(AN71=0,K71,0)</f>
        <v>0</v>
      </c>
      <c r="AK71" s="20">
        <f>IF(AN71=15,K71,0)</f>
        <v>0</v>
      </c>
      <c r="AL71" s="20">
        <f>IF(AN71=21,K71,0)</f>
        <v>0</v>
      </c>
      <c r="AN71" s="38">
        <v>21</v>
      </c>
      <c r="AO71" s="38">
        <f>H71*0.0121518987341772</f>
        <v>0</v>
      </c>
      <c r="AP71" s="38">
        <f>H71*(1-0.0121518987341772)</f>
        <v>0</v>
      </c>
      <c r="AQ71" s="39" t="s">
        <v>7</v>
      </c>
      <c r="AV71" s="38">
        <f>AW71+AX71</f>
        <v>0</v>
      </c>
      <c r="AW71" s="38">
        <f>G71*AO71</f>
        <v>0</v>
      </c>
      <c r="AX71" s="38">
        <f>G71*AP71</f>
        <v>0</v>
      </c>
      <c r="AY71" s="41" t="s">
        <v>261</v>
      </c>
      <c r="AZ71" s="41" t="s">
        <v>274</v>
      </c>
      <c r="BA71" s="37" t="s">
        <v>275</v>
      </c>
      <c r="BC71" s="38">
        <f>AW71+AX71</f>
        <v>0</v>
      </c>
      <c r="BD71" s="38">
        <f>H71/(100-BE71)*100</f>
        <v>0</v>
      </c>
      <c r="BE71" s="38">
        <v>0</v>
      </c>
      <c r="BF71" s="38">
        <f>71</f>
        <v>71</v>
      </c>
      <c r="BH71" s="20">
        <f>G71*AO71</f>
        <v>0</v>
      </c>
      <c r="BI71" s="20">
        <f>G71*AP71</f>
        <v>0</v>
      </c>
      <c r="BJ71" s="20">
        <f>G71*H71</f>
        <v>0</v>
      </c>
      <c r="BK71" s="20" t="s">
        <v>280</v>
      </c>
      <c r="BL71" s="38">
        <v>95</v>
      </c>
    </row>
    <row r="72" spans="1:47" ht="12.75">
      <c r="A72" s="5"/>
      <c r="B72" s="14" t="s">
        <v>122</v>
      </c>
      <c r="C72" s="95" t="s">
        <v>195</v>
      </c>
      <c r="D72" s="96"/>
      <c r="E72" s="96"/>
      <c r="F72" s="18" t="s">
        <v>6</v>
      </c>
      <c r="G72" s="18" t="s">
        <v>6</v>
      </c>
      <c r="H72" s="18" t="s">
        <v>6</v>
      </c>
      <c r="I72" s="44">
        <f>SUM(I73:I78)</f>
        <v>0</v>
      </c>
      <c r="J72" s="44">
        <f>SUM(J73:J78)</f>
        <v>0</v>
      </c>
      <c r="K72" s="44">
        <f>SUM(K73:K78)</f>
        <v>0</v>
      </c>
      <c r="L72" s="32"/>
      <c r="M72" s="35"/>
      <c r="AI72" s="37"/>
      <c r="AS72" s="44">
        <f>SUM(AJ73:AJ78)</f>
        <v>0</v>
      </c>
      <c r="AT72" s="44">
        <f>SUM(AK73:AK78)</f>
        <v>0</v>
      </c>
      <c r="AU72" s="44">
        <f>SUM(AL73:AL78)</f>
        <v>0</v>
      </c>
    </row>
    <row r="73" spans="1:64" ht="12.75">
      <c r="A73" s="4" t="s">
        <v>54</v>
      </c>
      <c r="B73" s="13" t="s">
        <v>123</v>
      </c>
      <c r="C73" s="93" t="s">
        <v>196</v>
      </c>
      <c r="D73" s="94"/>
      <c r="E73" s="94"/>
      <c r="F73" s="13" t="s">
        <v>219</v>
      </c>
      <c r="G73" s="20">
        <v>31.558</v>
      </c>
      <c r="H73" s="20">
        <v>0</v>
      </c>
      <c r="I73" s="20">
        <f aca="true" t="shared" si="22" ref="I73:I78">G73*AO73</f>
        <v>0</v>
      </c>
      <c r="J73" s="20">
        <f aca="true" t="shared" si="23" ref="J73:J78">G73*AP73</f>
        <v>0</v>
      </c>
      <c r="K73" s="20">
        <f aca="true" t="shared" si="24" ref="K73:K78">G73*H73</f>
        <v>0</v>
      </c>
      <c r="L73" s="31" t="s">
        <v>239</v>
      </c>
      <c r="M73" s="35"/>
      <c r="Z73" s="38">
        <f aca="true" t="shared" si="25" ref="Z73:Z78">IF(AQ73="5",BJ73,0)</f>
        <v>0</v>
      </c>
      <c r="AB73" s="38">
        <f aca="true" t="shared" si="26" ref="AB73:AB78">IF(AQ73="1",BH73,0)</f>
        <v>0</v>
      </c>
      <c r="AC73" s="38">
        <f aca="true" t="shared" si="27" ref="AC73:AC78">IF(AQ73="1",BI73,0)</f>
        <v>0</v>
      </c>
      <c r="AD73" s="38">
        <f aca="true" t="shared" si="28" ref="AD73:AD78">IF(AQ73="7",BH73,0)</f>
        <v>0</v>
      </c>
      <c r="AE73" s="38">
        <f aca="true" t="shared" si="29" ref="AE73:AE78">IF(AQ73="7",BI73,0)</f>
        <v>0</v>
      </c>
      <c r="AF73" s="38">
        <f aca="true" t="shared" si="30" ref="AF73:AF78">IF(AQ73="2",BH73,0)</f>
        <v>0</v>
      </c>
      <c r="AG73" s="38">
        <f aca="true" t="shared" si="31" ref="AG73:AG78">IF(AQ73="2",BI73,0)</f>
        <v>0</v>
      </c>
      <c r="AH73" s="38">
        <f aca="true" t="shared" si="32" ref="AH73:AH78">IF(AQ73="0",BJ73,0)</f>
        <v>0</v>
      </c>
      <c r="AI73" s="37"/>
      <c r="AJ73" s="20">
        <f aca="true" t="shared" si="33" ref="AJ73:AJ78">IF(AN73=0,K73,0)</f>
        <v>0</v>
      </c>
      <c r="AK73" s="20">
        <f aca="true" t="shared" si="34" ref="AK73:AK78">IF(AN73=15,K73,0)</f>
        <v>0</v>
      </c>
      <c r="AL73" s="20">
        <f aca="true" t="shared" si="35" ref="AL73:AL78">IF(AN73=21,K73,0)</f>
        <v>0</v>
      </c>
      <c r="AN73" s="38">
        <v>21</v>
      </c>
      <c r="AO73" s="38">
        <f>H73*0</f>
        <v>0</v>
      </c>
      <c r="AP73" s="38">
        <f>H73*(1-0)</f>
        <v>0</v>
      </c>
      <c r="AQ73" s="39" t="s">
        <v>7</v>
      </c>
      <c r="AV73" s="38">
        <f aca="true" t="shared" si="36" ref="AV73:AV78">AW73+AX73</f>
        <v>0</v>
      </c>
      <c r="AW73" s="38">
        <f aca="true" t="shared" si="37" ref="AW73:AW78">G73*AO73</f>
        <v>0</v>
      </c>
      <c r="AX73" s="38">
        <f aca="true" t="shared" si="38" ref="AX73:AX78">G73*AP73</f>
        <v>0</v>
      </c>
      <c r="AY73" s="41" t="s">
        <v>262</v>
      </c>
      <c r="AZ73" s="41" t="s">
        <v>274</v>
      </c>
      <c r="BA73" s="37" t="s">
        <v>275</v>
      </c>
      <c r="BC73" s="38">
        <f aca="true" t="shared" si="39" ref="BC73:BC78">AW73+AX73</f>
        <v>0</v>
      </c>
      <c r="BD73" s="38">
        <f aca="true" t="shared" si="40" ref="BD73:BD78">H73/(100-BE73)*100</f>
        <v>0</v>
      </c>
      <c r="BE73" s="38">
        <v>0</v>
      </c>
      <c r="BF73" s="38">
        <f>73</f>
        <v>73</v>
      </c>
      <c r="BH73" s="20">
        <f aca="true" t="shared" si="41" ref="BH73:BH78">G73*AO73</f>
        <v>0</v>
      </c>
      <c r="BI73" s="20">
        <f aca="true" t="shared" si="42" ref="BI73:BI78">G73*AP73</f>
        <v>0</v>
      </c>
      <c r="BJ73" s="20">
        <f aca="true" t="shared" si="43" ref="BJ73:BJ78">G73*H73</f>
        <v>0</v>
      </c>
      <c r="BK73" s="20" t="s">
        <v>280</v>
      </c>
      <c r="BL73" s="38">
        <v>96</v>
      </c>
    </row>
    <row r="74" spans="1:64" ht="12.75">
      <c r="A74" s="4" t="s">
        <v>55</v>
      </c>
      <c r="B74" s="13" t="s">
        <v>124</v>
      </c>
      <c r="C74" s="93" t="s">
        <v>197</v>
      </c>
      <c r="D74" s="94"/>
      <c r="E74" s="94"/>
      <c r="F74" s="13" t="s">
        <v>222</v>
      </c>
      <c r="G74" s="20">
        <v>4.7337</v>
      </c>
      <c r="H74" s="20">
        <v>0</v>
      </c>
      <c r="I74" s="20">
        <f t="shared" si="22"/>
        <v>0</v>
      </c>
      <c r="J74" s="20">
        <f t="shared" si="23"/>
        <v>0</v>
      </c>
      <c r="K74" s="20">
        <f t="shared" si="24"/>
        <v>0</v>
      </c>
      <c r="L74" s="31" t="s">
        <v>239</v>
      </c>
      <c r="M74" s="35"/>
      <c r="Z74" s="38">
        <f t="shared" si="25"/>
        <v>0</v>
      </c>
      <c r="AB74" s="38">
        <f t="shared" si="26"/>
        <v>0</v>
      </c>
      <c r="AC74" s="38">
        <f t="shared" si="27"/>
        <v>0</v>
      </c>
      <c r="AD74" s="38">
        <f t="shared" si="28"/>
        <v>0</v>
      </c>
      <c r="AE74" s="38">
        <f t="shared" si="29"/>
        <v>0</v>
      </c>
      <c r="AF74" s="38">
        <f t="shared" si="30"/>
        <v>0</v>
      </c>
      <c r="AG74" s="38">
        <f t="shared" si="31"/>
        <v>0</v>
      </c>
      <c r="AH74" s="38">
        <f t="shared" si="32"/>
        <v>0</v>
      </c>
      <c r="AI74" s="37"/>
      <c r="AJ74" s="20">
        <f t="shared" si="33"/>
        <v>0</v>
      </c>
      <c r="AK74" s="20">
        <f t="shared" si="34"/>
        <v>0</v>
      </c>
      <c r="AL74" s="20">
        <f t="shared" si="35"/>
        <v>0</v>
      </c>
      <c r="AN74" s="38">
        <v>21</v>
      </c>
      <c r="AO74" s="38">
        <f>H74*0</f>
        <v>0</v>
      </c>
      <c r="AP74" s="38">
        <f>H74*(1-0)</f>
        <v>0</v>
      </c>
      <c r="AQ74" s="39" t="s">
        <v>7</v>
      </c>
      <c r="AV74" s="38">
        <f t="shared" si="36"/>
        <v>0</v>
      </c>
      <c r="AW74" s="38">
        <f t="shared" si="37"/>
        <v>0</v>
      </c>
      <c r="AX74" s="38">
        <f t="shared" si="38"/>
        <v>0</v>
      </c>
      <c r="AY74" s="41" t="s">
        <v>262</v>
      </c>
      <c r="AZ74" s="41" t="s">
        <v>274</v>
      </c>
      <c r="BA74" s="37" t="s">
        <v>275</v>
      </c>
      <c r="BC74" s="38">
        <f t="shared" si="39"/>
        <v>0</v>
      </c>
      <c r="BD74" s="38">
        <f t="shared" si="40"/>
        <v>0</v>
      </c>
      <c r="BE74" s="38">
        <v>0</v>
      </c>
      <c r="BF74" s="38">
        <f>74</f>
        <v>74</v>
      </c>
      <c r="BH74" s="20">
        <f t="shared" si="41"/>
        <v>0</v>
      </c>
      <c r="BI74" s="20">
        <f t="shared" si="42"/>
        <v>0</v>
      </c>
      <c r="BJ74" s="20">
        <f t="shared" si="43"/>
        <v>0</v>
      </c>
      <c r="BK74" s="20" t="s">
        <v>280</v>
      </c>
      <c r="BL74" s="38">
        <v>96</v>
      </c>
    </row>
    <row r="75" spans="1:64" ht="12.75">
      <c r="A75" s="4" t="s">
        <v>56</v>
      </c>
      <c r="B75" s="13" t="s">
        <v>105</v>
      </c>
      <c r="C75" s="93" t="s">
        <v>178</v>
      </c>
      <c r="D75" s="94"/>
      <c r="E75" s="94"/>
      <c r="F75" s="13" t="s">
        <v>222</v>
      </c>
      <c r="G75" s="20">
        <v>7.8895</v>
      </c>
      <c r="H75" s="20">
        <v>0</v>
      </c>
      <c r="I75" s="20">
        <f t="shared" si="22"/>
        <v>0</v>
      </c>
      <c r="J75" s="20">
        <f t="shared" si="23"/>
        <v>0</v>
      </c>
      <c r="K75" s="20">
        <f t="shared" si="24"/>
        <v>0</v>
      </c>
      <c r="L75" s="31" t="s">
        <v>239</v>
      </c>
      <c r="M75" s="35"/>
      <c r="Z75" s="38">
        <f t="shared" si="25"/>
        <v>0</v>
      </c>
      <c r="AB75" s="38">
        <f t="shared" si="26"/>
        <v>0</v>
      </c>
      <c r="AC75" s="38">
        <f t="shared" si="27"/>
        <v>0</v>
      </c>
      <c r="AD75" s="38">
        <f t="shared" si="28"/>
        <v>0</v>
      </c>
      <c r="AE75" s="38">
        <f t="shared" si="29"/>
        <v>0</v>
      </c>
      <c r="AF75" s="38">
        <f t="shared" si="30"/>
        <v>0</v>
      </c>
      <c r="AG75" s="38">
        <f t="shared" si="31"/>
        <v>0</v>
      </c>
      <c r="AH75" s="38">
        <f t="shared" si="32"/>
        <v>0</v>
      </c>
      <c r="AI75" s="37"/>
      <c r="AJ75" s="20">
        <f t="shared" si="33"/>
        <v>0</v>
      </c>
      <c r="AK75" s="20">
        <f t="shared" si="34"/>
        <v>0</v>
      </c>
      <c r="AL75" s="20">
        <f t="shared" si="35"/>
        <v>0</v>
      </c>
      <c r="AN75" s="38">
        <v>21</v>
      </c>
      <c r="AO75" s="38">
        <f>H75*0</f>
        <v>0</v>
      </c>
      <c r="AP75" s="38">
        <f>H75*(1-0)</f>
        <v>0</v>
      </c>
      <c r="AQ75" s="39" t="s">
        <v>7</v>
      </c>
      <c r="AV75" s="38">
        <f t="shared" si="36"/>
        <v>0</v>
      </c>
      <c r="AW75" s="38">
        <f t="shared" si="37"/>
        <v>0</v>
      </c>
      <c r="AX75" s="38">
        <f t="shared" si="38"/>
        <v>0</v>
      </c>
      <c r="AY75" s="41" t="s">
        <v>262</v>
      </c>
      <c r="AZ75" s="41" t="s">
        <v>274</v>
      </c>
      <c r="BA75" s="37" t="s">
        <v>275</v>
      </c>
      <c r="BC75" s="38">
        <f t="shared" si="39"/>
        <v>0</v>
      </c>
      <c r="BD75" s="38">
        <f t="shared" si="40"/>
        <v>0</v>
      </c>
      <c r="BE75" s="38">
        <v>0</v>
      </c>
      <c r="BF75" s="38">
        <f>75</f>
        <v>75</v>
      </c>
      <c r="BH75" s="20">
        <f t="shared" si="41"/>
        <v>0</v>
      </c>
      <c r="BI75" s="20">
        <f t="shared" si="42"/>
        <v>0</v>
      </c>
      <c r="BJ75" s="20">
        <f t="shared" si="43"/>
        <v>0</v>
      </c>
      <c r="BK75" s="20" t="s">
        <v>280</v>
      </c>
      <c r="BL75" s="38">
        <v>96</v>
      </c>
    </row>
    <row r="76" spans="1:64" ht="12.75">
      <c r="A76" s="4" t="s">
        <v>57</v>
      </c>
      <c r="B76" s="13" t="s">
        <v>121</v>
      </c>
      <c r="C76" s="93" t="s">
        <v>198</v>
      </c>
      <c r="D76" s="94"/>
      <c r="E76" s="94"/>
      <c r="F76" s="13" t="s">
        <v>219</v>
      </c>
      <c r="G76" s="20">
        <v>31.558</v>
      </c>
      <c r="H76" s="20">
        <v>0</v>
      </c>
      <c r="I76" s="20">
        <f t="shared" si="22"/>
        <v>0</v>
      </c>
      <c r="J76" s="20">
        <f t="shared" si="23"/>
        <v>0</v>
      </c>
      <c r="K76" s="20">
        <f t="shared" si="24"/>
        <v>0</v>
      </c>
      <c r="L76" s="31" t="s">
        <v>239</v>
      </c>
      <c r="M76" s="35"/>
      <c r="Z76" s="38">
        <f t="shared" si="25"/>
        <v>0</v>
      </c>
      <c r="AB76" s="38">
        <f t="shared" si="26"/>
        <v>0</v>
      </c>
      <c r="AC76" s="38">
        <f t="shared" si="27"/>
        <v>0</v>
      </c>
      <c r="AD76" s="38">
        <f t="shared" si="28"/>
        <v>0</v>
      </c>
      <c r="AE76" s="38">
        <f t="shared" si="29"/>
        <v>0</v>
      </c>
      <c r="AF76" s="38">
        <f t="shared" si="30"/>
        <v>0</v>
      </c>
      <c r="AG76" s="38">
        <f t="shared" si="31"/>
        <v>0</v>
      </c>
      <c r="AH76" s="38">
        <f t="shared" si="32"/>
        <v>0</v>
      </c>
      <c r="AI76" s="37"/>
      <c r="AJ76" s="20">
        <f t="shared" si="33"/>
        <v>0</v>
      </c>
      <c r="AK76" s="20">
        <f t="shared" si="34"/>
        <v>0</v>
      </c>
      <c r="AL76" s="20">
        <f t="shared" si="35"/>
        <v>0</v>
      </c>
      <c r="AN76" s="38">
        <v>21</v>
      </c>
      <c r="AO76" s="38">
        <f>H76*0.0121519084826801</f>
        <v>0</v>
      </c>
      <c r="AP76" s="38">
        <f>H76*(1-0.0121519084826801)</f>
        <v>0</v>
      </c>
      <c r="AQ76" s="39" t="s">
        <v>7</v>
      </c>
      <c r="AV76" s="38">
        <f t="shared" si="36"/>
        <v>0</v>
      </c>
      <c r="AW76" s="38">
        <f t="shared" si="37"/>
        <v>0</v>
      </c>
      <c r="AX76" s="38">
        <f t="shared" si="38"/>
        <v>0</v>
      </c>
      <c r="AY76" s="41" t="s">
        <v>262</v>
      </c>
      <c r="AZ76" s="41" t="s">
        <v>274</v>
      </c>
      <c r="BA76" s="37" t="s">
        <v>275</v>
      </c>
      <c r="BC76" s="38">
        <f t="shared" si="39"/>
        <v>0</v>
      </c>
      <c r="BD76" s="38">
        <f t="shared" si="40"/>
        <v>0</v>
      </c>
      <c r="BE76" s="38">
        <v>0</v>
      </c>
      <c r="BF76" s="38">
        <f>76</f>
        <v>76</v>
      </c>
      <c r="BH76" s="20">
        <f t="shared" si="41"/>
        <v>0</v>
      </c>
      <c r="BI76" s="20">
        <f t="shared" si="42"/>
        <v>0</v>
      </c>
      <c r="BJ76" s="20">
        <f t="shared" si="43"/>
        <v>0</v>
      </c>
      <c r="BK76" s="20" t="s">
        <v>280</v>
      </c>
      <c r="BL76" s="38">
        <v>96</v>
      </c>
    </row>
    <row r="77" spans="1:64" ht="12.75">
      <c r="A77" s="4" t="s">
        <v>58</v>
      </c>
      <c r="B77" s="13" t="s">
        <v>121</v>
      </c>
      <c r="C77" s="93" t="s">
        <v>199</v>
      </c>
      <c r="D77" s="94"/>
      <c r="E77" s="94"/>
      <c r="F77" s="13" t="s">
        <v>219</v>
      </c>
      <c r="G77" s="20">
        <v>63.116</v>
      </c>
      <c r="H77" s="20">
        <v>0</v>
      </c>
      <c r="I77" s="20">
        <f t="shared" si="22"/>
        <v>0</v>
      </c>
      <c r="J77" s="20">
        <f t="shared" si="23"/>
        <v>0</v>
      </c>
      <c r="K77" s="20">
        <f t="shared" si="24"/>
        <v>0</v>
      </c>
      <c r="L77" s="31" t="s">
        <v>239</v>
      </c>
      <c r="M77" s="35"/>
      <c r="Z77" s="38">
        <f t="shared" si="25"/>
        <v>0</v>
      </c>
      <c r="AB77" s="38">
        <f t="shared" si="26"/>
        <v>0</v>
      </c>
      <c r="AC77" s="38">
        <f t="shared" si="27"/>
        <v>0</v>
      </c>
      <c r="AD77" s="38">
        <f t="shared" si="28"/>
        <v>0</v>
      </c>
      <c r="AE77" s="38">
        <f t="shared" si="29"/>
        <v>0</v>
      </c>
      <c r="AF77" s="38">
        <f t="shared" si="30"/>
        <v>0</v>
      </c>
      <c r="AG77" s="38">
        <f t="shared" si="31"/>
        <v>0</v>
      </c>
      <c r="AH77" s="38">
        <f t="shared" si="32"/>
        <v>0</v>
      </c>
      <c r="AI77" s="37"/>
      <c r="AJ77" s="20">
        <f t="shared" si="33"/>
        <v>0</v>
      </c>
      <c r="AK77" s="20">
        <f t="shared" si="34"/>
        <v>0</v>
      </c>
      <c r="AL77" s="20">
        <f t="shared" si="35"/>
        <v>0</v>
      </c>
      <c r="AN77" s="38">
        <v>21</v>
      </c>
      <c r="AO77" s="38">
        <f>H77*0.012151892235184</f>
        <v>0</v>
      </c>
      <c r="AP77" s="38">
        <f>H77*(1-0.012151892235184)</f>
        <v>0</v>
      </c>
      <c r="AQ77" s="39" t="s">
        <v>7</v>
      </c>
      <c r="AV77" s="38">
        <f t="shared" si="36"/>
        <v>0</v>
      </c>
      <c r="AW77" s="38">
        <f t="shared" si="37"/>
        <v>0</v>
      </c>
      <c r="AX77" s="38">
        <f t="shared" si="38"/>
        <v>0</v>
      </c>
      <c r="AY77" s="41" t="s">
        <v>262</v>
      </c>
      <c r="AZ77" s="41" t="s">
        <v>274</v>
      </c>
      <c r="BA77" s="37" t="s">
        <v>275</v>
      </c>
      <c r="BC77" s="38">
        <f t="shared" si="39"/>
        <v>0</v>
      </c>
      <c r="BD77" s="38">
        <f t="shared" si="40"/>
        <v>0</v>
      </c>
      <c r="BE77" s="38">
        <v>0</v>
      </c>
      <c r="BF77" s="38">
        <f>77</f>
        <v>77</v>
      </c>
      <c r="BH77" s="20">
        <f t="shared" si="41"/>
        <v>0</v>
      </c>
      <c r="BI77" s="20">
        <f t="shared" si="42"/>
        <v>0</v>
      </c>
      <c r="BJ77" s="20">
        <f t="shared" si="43"/>
        <v>0</v>
      </c>
      <c r="BK77" s="20" t="s">
        <v>280</v>
      </c>
      <c r="BL77" s="38">
        <v>96</v>
      </c>
    </row>
    <row r="78" spans="1:64" ht="12.75">
      <c r="A78" s="4" t="s">
        <v>59</v>
      </c>
      <c r="B78" s="13" t="s">
        <v>79</v>
      </c>
      <c r="C78" s="93" t="s">
        <v>147</v>
      </c>
      <c r="D78" s="94"/>
      <c r="E78" s="94"/>
      <c r="F78" s="13" t="s">
        <v>221</v>
      </c>
      <c r="G78" s="20">
        <v>24.20877</v>
      </c>
      <c r="H78" s="20">
        <v>0</v>
      </c>
      <c r="I78" s="20">
        <f t="shared" si="22"/>
        <v>0</v>
      </c>
      <c r="J78" s="20">
        <f t="shared" si="23"/>
        <v>0</v>
      </c>
      <c r="K78" s="20">
        <f t="shared" si="24"/>
        <v>0</v>
      </c>
      <c r="L78" s="31" t="s">
        <v>239</v>
      </c>
      <c r="M78" s="35"/>
      <c r="Z78" s="38">
        <f t="shared" si="25"/>
        <v>0</v>
      </c>
      <c r="AB78" s="38">
        <f t="shared" si="26"/>
        <v>0</v>
      </c>
      <c r="AC78" s="38">
        <f t="shared" si="27"/>
        <v>0</v>
      </c>
      <c r="AD78" s="38">
        <f t="shared" si="28"/>
        <v>0</v>
      </c>
      <c r="AE78" s="38">
        <f t="shared" si="29"/>
        <v>0</v>
      </c>
      <c r="AF78" s="38">
        <f t="shared" si="30"/>
        <v>0</v>
      </c>
      <c r="AG78" s="38">
        <f t="shared" si="31"/>
        <v>0</v>
      </c>
      <c r="AH78" s="38">
        <f t="shared" si="32"/>
        <v>0</v>
      </c>
      <c r="AI78" s="37"/>
      <c r="AJ78" s="20">
        <f t="shared" si="33"/>
        <v>0</v>
      </c>
      <c r="AK78" s="20">
        <f t="shared" si="34"/>
        <v>0</v>
      </c>
      <c r="AL78" s="20">
        <f t="shared" si="35"/>
        <v>0</v>
      </c>
      <c r="AN78" s="38">
        <v>21</v>
      </c>
      <c r="AO78" s="38">
        <f>H78*0</f>
        <v>0</v>
      </c>
      <c r="AP78" s="38">
        <f>H78*(1-0)</f>
        <v>0</v>
      </c>
      <c r="AQ78" s="39" t="s">
        <v>11</v>
      </c>
      <c r="AV78" s="38">
        <f t="shared" si="36"/>
        <v>0</v>
      </c>
      <c r="AW78" s="38">
        <f t="shared" si="37"/>
        <v>0</v>
      </c>
      <c r="AX78" s="38">
        <f t="shared" si="38"/>
        <v>0</v>
      </c>
      <c r="AY78" s="41" t="s">
        <v>262</v>
      </c>
      <c r="AZ78" s="41" t="s">
        <v>274</v>
      </c>
      <c r="BA78" s="37" t="s">
        <v>275</v>
      </c>
      <c r="BC78" s="38">
        <f t="shared" si="39"/>
        <v>0</v>
      </c>
      <c r="BD78" s="38">
        <f t="shared" si="40"/>
        <v>0</v>
      </c>
      <c r="BE78" s="38">
        <v>0</v>
      </c>
      <c r="BF78" s="38">
        <f>78</f>
        <v>78</v>
      </c>
      <c r="BH78" s="20">
        <f t="shared" si="41"/>
        <v>0</v>
      </c>
      <c r="BI78" s="20">
        <f t="shared" si="42"/>
        <v>0</v>
      </c>
      <c r="BJ78" s="20">
        <f t="shared" si="43"/>
        <v>0</v>
      </c>
      <c r="BK78" s="20" t="s">
        <v>280</v>
      </c>
      <c r="BL78" s="38">
        <v>96</v>
      </c>
    </row>
    <row r="79" spans="1:47" ht="12.75">
      <c r="A79" s="5"/>
      <c r="B79" s="14" t="s">
        <v>125</v>
      </c>
      <c r="C79" s="95" t="s">
        <v>200</v>
      </c>
      <c r="D79" s="96"/>
      <c r="E79" s="96"/>
      <c r="F79" s="18" t="s">
        <v>6</v>
      </c>
      <c r="G79" s="18" t="s">
        <v>6</v>
      </c>
      <c r="H79" s="18" t="s">
        <v>6</v>
      </c>
      <c r="I79" s="44">
        <f>SUM(I80:I83)</f>
        <v>0</v>
      </c>
      <c r="J79" s="44">
        <f>SUM(J80:J83)</f>
        <v>0</v>
      </c>
      <c r="K79" s="44">
        <f>SUM(K80:K83)</f>
        <v>0</v>
      </c>
      <c r="L79" s="32"/>
      <c r="M79" s="35"/>
      <c r="AI79" s="37"/>
      <c r="AS79" s="44">
        <f>SUM(AJ80:AJ83)</f>
        <v>0</v>
      </c>
      <c r="AT79" s="44">
        <f>SUM(AK80:AK83)</f>
        <v>0</v>
      </c>
      <c r="AU79" s="44">
        <f>SUM(AL80:AL83)</f>
        <v>0</v>
      </c>
    </row>
    <row r="80" spans="1:64" ht="12.75">
      <c r="A80" s="4" t="s">
        <v>60</v>
      </c>
      <c r="B80" s="13" t="s">
        <v>126</v>
      </c>
      <c r="C80" s="93" t="s">
        <v>201</v>
      </c>
      <c r="D80" s="94"/>
      <c r="E80" s="94"/>
      <c r="F80" s="13" t="s">
        <v>219</v>
      </c>
      <c r="G80" s="20">
        <v>35.75</v>
      </c>
      <c r="H80" s="20">
        <v>0</v>
      </c>
      <c r="I80" s="20">
        <f>G80*AO80</f>
        <v>0</v>
      </c>
      <c r="J80" s="20">
        <f>G80*AP80</f>
        <v>0</v>
      </c>
      <c r="K80" s="20">
        <f>G80*H80</f>
        <v>0</v>
      </c>
      <c r="L80" s="31" t="s">
        <v>239</v>
      </c>
      <c r="M80" s="35"/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37"/>
      <c r="AJ80" s="20">
        <f>IF(AN80=0,K80,0)</f>
        <v>0</v>
      </c>
      <c r="AK80" s="20">
        <f>IF(AN80=15,K80,0)</f>
        <v>0</v>
      </c>
      <c r="AL80" s="20">
        <f>IF(AN80=21,K80,0)</f>
        <v>0</v>
      </c>
      <c r="AN80" s="38">
        <v>21</v>
      </c>
      <c r="AO80" s="38">
        <f>H80*0</f>
        <v>0</v>
      </c>
      <c r="AP80" s="38">
        <f>H80*(1-0)</f>
        <v>0</v>
      </c>
      <c r="AQ80" s="39" t="s">
        <v>7</v>
      </c>
      <c r="AV80" s="38">
        <f>AW80+AX80</f>
        <v>0</v>
      </c>
      <c r="AW80" s="38">
        <f>G80*AO80</f>
        <v>0</v>
      </c>
      <c r="AX80" s="38">
        <f>G80*AP80</f>
        <v>0</v>
      </c>
      <c r="AY80" s="41" t="s">
        <v>263</v>
      </c>
      <c r="AZ80" s="41" t="s">
        <v>274</v>
      </c>
      <c r="BA80" s="37" t="s">
        <v>275</v>
      </c>
      <c r="BC80" s="38">
        <f>AW80+AX80</f>
        <v>0</v>
      </c>
      <c r="BD80" s="38">
        <f>H80/(100-BE80)*100</f>
        <v>0</v>
      </c>
      <c r="BE80" s="38">
        <v>0</v>
      </c>
      <c r="BF80" s="38">
        <f>80</f>
        <v>80</v>
      </c>
      <c r="BH80" s="20">
        <f>G80*AO80</f>
        <v>0</v>
      </c>
      <c r="BI80" s="20">
        <f>G80*AP80</f>
        <v>0</v>
      </c>
      <c r="BJ80" s="20">
        <f>G80*H80</f>
        <v>0</v>
      </c>
      <c r="BK80" s="20" t="s">
        <v>280</v>
      </c>
      <c r="BL80" s="38">
        <v>97</v>
      </c>
    </row>
    <row r="81" spans="1:64" ht="12.75">
      <c r="A81" s="4" t="s">
        <v>61</v>
      </c>
      <c r="B81" s="13" t="s">
        <v>127</v>
      </c>
      <c r="C81" s="93" t="s">
        <v>202</v>
      </c>
      <c r="D81" s="94"/>
      <c r="E81" s="94"/>
      <c r="F81" s="13" t="s">
        <v>219</v>
      </c>
      <c r="G81" s="20">
        <v>35.8</v>
      </c>
      <c r="H81" s="20">
        <v>0</v>
      </c>
      <c r="I81" s="20">
        <f>G81*AO81</f>
        <v>0</v>
      </c>
      <c r="J81" s="20">
        <f>G81*AP81</f>
        <v>0</v>
      </c>
      <c r="K81" s="20">
        <f>G81*H81</f>
        <v>0</v>
      </c>
      <c r="L81" s="31" t="s">
        <v>239</v>
      </c>
      <c r="M81" s="35"/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37"/>
      <c r="AJ81" s="20">
        <f>IF(AN81=0,K81,0)</f>
        <v>0</v>
      </c>
      <c r="AK81" s="20">
        <f>IF(AN81=15,K81,0)</f>
        <v>0</v>
      </c>
      <c r="AL81" s="20">
        <f>IF(AN81=21,K81,0)</f>
        <v>0</v>
      </c>
      <c r="AN81" s="38">
        <v>21</v>
      </c>
      <c r="AO81" s="38">
        <f>H81*0</f>
        <v>0</v>
      </c>
      <c r="AP81" s="38">
        <f>H81*(1-0)</f>
        <v>0</v>
      </c>
      <c r="AQ81" s="39" t="s">
        <v>7</v>
      </c>
      <c r="AV81" s="38">
        <f>AW81+AX81</f>
        <v>0</v>
      </c>
      <c r="AW81" s="38">
        <f>G81*AO81</f>
        <v>0</v>
      </c>
      <c r="AX81" s="38">
        <f>G81*AP81</f>
        <v>0</v>
      </c>
      <c r="AY81" s="41" t="s">
        <v>263</v>
      </c>
      <c r="AZ81" s="41" t="s">
        <v>274</v>
      </c>
      <c r="BA81" s="37" t="s">
        <v>275</v>
      </c>
      <c r="BC81" s="38">
        <f>AW81+AX81</f>
        <v>0</v>
      </c>
      <c r="BD81" s="38">
        <f>H81/(100-BE81)*100</f>
        <v>0</v>
      </c>
      <c r="BE81" s="38">
        <v>0</v>
      </c>
      <c r="BF81" s="38">
        <f>81</f>
        <v>81</v>
      </c>
      <c r="BH81" s="20">
        <f>G81*AO81</f>
        <v>0</v>
      </c>
      <c r="BI81" s="20">
        <f>G81*AP81</f>
        <v>0</v>
      </c>
      <c r="BJ81" s="20">
        <f>G81*H81</f>
        <v>0</v>
      </c>
      <c r="BK81" s="20" t="s">
        <v>280</v>
      </c>
      <c r="BL81" s="38">
        <v>97</v>
      </c>
    </row>
    <row r="82" spans="1:64" ht="12.75">
      <c r="A82" s="4" t="s">
        <v>62</v>
      </c>
      <c r="B82" s="13" t="s">
        <v>108</v>
      </c>
      <c r="C82" s="93" t="s">
        <v>203</v>
      </c>
      <c r="D82" s="94"/>
      <c r="E82" s="94"/>
      <c r="F82" s="13" t="s">
        <v>219</v>
      </c>
      <c r="G82" s="20">
        <v>45.04</v>
      </c>
      <c r="H82" s="20">
        <v>0</v>
      </c>
      <c r="I82" s="20">
        <f>G82*AO82</f>
        <v>0</v>
      </c>
      <c r="J82" s="20">
        <f>G82*AP82</f>
        <v>0</v>
      </c>
      <c r="K82" s="20">
        <f>G82*H82</f>
        <v>0</v>
      </c>
      <c r="L82" s="31" t="s">
        <v>239</v>
      </c>
      <c r="M82" s="35"/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37"/>
      <c r="AJ82" s="20">
        <f>IF(AN82=0,K82,0)</f>
        <v>0</v>
      </c>
      <c r="AK82" s="20">
        <f>IF(AN82=15,K82,0)</f>
        <v>0</v>
      </c>
      <c r="AL82" s="20">
        <f>IF(AN82=21,K82,0)</f>
        <v>0</v>
      </c>
      <c r="AN82" s="38">
        <v>21</v>
      </c>
      <c r="AO82" s="38">
        <f>H82*0</f>
        <v>0</v>
      </c>
      <c r="AP82" s="38">
        <f>H82*(1-0)</f>
        <v>0</v>
      </c>
      <c r="AQ82" s="39" t="s">
        <v>7</v>
      </c>
      <c r="AV82" s="38">
        <f>AW82+AX82</f>
        <v>0</v>
      </c>
      <c r="AW82" s="38">
        <f>G82*AO82</f>
        <v>0</v>
      </c>
      <c r="AX82" s="38">
        <f>G82*AP82</f>
        <v>0</v>
      </c>
      <c r="AY82" s="41" t="s">
        <v>263</v>
      </c>
      <c r="AZ82" s="41" t="s">
        <v>274</v>
      </c>
      <c r="BA82" s="37" t="s">
        <v>275</v>
      </c>
      <c r="BC82" s="38">
        <f>AW82+AX82</f>
        <v>0</v>
      </c>
      <c r="BD82" s="38">
        <f>H82/(100-BE82)*100</f>
        <v>0</v>
      </c>
      <c r="BE82" s="38">
        <v>0</v>
      </c>
      <c r="BF82" s="38">
        <f>82</f>
        <v>82</v>
      </c>
      <c r="BH82" s="20">
        <f>G82*AO82</f>
        <v>0</v>
      </c>
      <c r="BI82" s="20">
        <f>G82*AP82</f>
        <v>0</v>
      </c>
      <c r="BJ82" s="20">
        <f>G82*H82</f>
        <v>0</v>
      </c>
      <c r="BK82" s="20" t="s">
        <v>280</v>
      </c>
      <c r="BL82" s="38">
        <v>97</v>
      </c>
    </row>
    <row r="83" spans="1:64" ht="12.75">
      <c r="A83" s="4" t="s">
        <v>63</v>
      </c>
      <c r="B83" s="13" t="s">
        <v>79</v>
      </c>
      <c r="C83" s="93" t="s">
        <v>147</v>
      </c>
      <c r="D83" s="94"/>
      <c r="E83" s="94"/>
      <c r="F83" s="13" t="s">
        <v>221</v>
      </c>
      <c r="G83" s="20">
        <v>2.1457</v>
      </c>
      <c r="H83" s="20">
        <v>0</v>
      </c>
      <c r="I83" s="20">
        <f>G83*AO83</f>
        <v>0</v>
      </c>
      <c r="J83" s="20">
        <f>G83*AP83</f>
        <v>0</v>
      </c>
      <c r="K83" s="20">
        <f>G83*H83</f>
        <v>0</v>
      </c>
      <c r="L83" s="31" t="s">
        <v>239</v>
      </c>
      <c r="M83" s="35"/>
      <c r="Z83" s="38">
        <f>IF(AQ83="5",BJ83,0)</f>
        <v>0</v>
      </c>
      <c r="AB83" s="38">
        <f>IF(AQ83="1",BH83,0)</f>
        <v>0</v>
      </c>
      <c r="AC83" s="38">
        <f>IF(AQ83="1",BI83,0)</f>
        <v>0</v>
      </c>
      <c r="AD83" s="38">
        <f>IF(AQ83="7",BH83,0)</f>
        <v>0</v>
      </c>
      <c r="AE83" s="38">
        <f>IF(AQ83="7",BI83,0)</f>
        <v>0</v>
      </c>
      <c r="AF83" s="38">
        <f>IF(AQ83="2",BH83,0)</f>
        <v>0</v>
      </c>
      <c r="AG83" s="38">
        <f>IF(AQ83="2",BI83,0)</f>
        <v>0</v>
      </c>
      <c r="AH83" s="38">
        <f>IF(AQ83="0",BJ83,0)</f>
        <v>0</v>
      </c>
      <c r="AI83" s="37"/>
      <c r="AJ83" s="20">
        <f>IF(AN83=0,K83,0)</f>
        <v>0</v>
      </c>
      <c r="AK83" s="20">
        <f>IF(AN83=15,K83,0)</f>
        <v>0</v>
      </c>
      <c r="AL83" s="20">
        <f>IF(AN83=21,K83,0)</f>
        <v>0</v>
      </c>
      <c r="AN83" s="38">
        <v>21</v>
      </c>
      <c r="AO83" s="38">
        <f>H83*0</f>
        <v>0</v>
      </c>
      <c r="AP83" s="38">
        <f>H83*(1-0)</f>
        <v>0</v>
      </c>
      <c r="AQ83" s="39" t="s">
        <v>11</v>
      </c>
      <c r="AV83" s="38">
        <f>AW83+AX83</f>
        <v>0</v>
      </c>
      <c r="AW83" s="38">
        <f>G83*AO83</f>
        <v>0</v>
      </c>
      <c r="AX83" s="38">
        <f>G83*AP83</f>
        <v>0</v>
      </c>
      <c r="AY83" s="41" t="s">
        <v>263</v>
      </c>
      <c r="AZ83" s="41" t="s">
        <v>274</v>
      </c>
      <c r="BA83" s="37" t="s">
        <v>275</v>
      </c>
      <c r="BC83" s="38">
        <f>AW83+AX83</f>
        <v>0</v>
      </c>
      <c r="BD83" s="38">
        <f>H83/(100-BE83)*100</f>
        <v>0</v>
      </c>
      <c r="BE83" s="38">
        <v>0</v>
      </c>
      <c r="BF83" s="38">
        <f>83</f>
        <v>83</v>
      </c>
      <c r="BH83" s="20">
        <f>G83*AO83</f>
        <v>0</v>
      </c>
      <c r="BI83" s="20">
        <f>G83*AP83</f>
        <v>0</v>
      </c>
      <c r="BJ83" s="20">
        <f>G83*H83</f>
        <v>0</v>
      </c>
      <c r="BK83" s="20" t="s">
        <v>280</v>
      </c>
      <c r="BL83" s="38">
        <v>97</v>
      </c>
    </row>
    <row r="84" spans="1:47" ht="12.75">
      <c r="A84" s="5"/>
      <c r="B84" s="14" t="s">
        <v>128</v>
      </c>
      <c r="C84" s="95" t="s">
        <v>204</v>
      </c>
      <c r="D84" s="96"/>
      <c r="E84" s="96"/>
      <c r="F84" s="18" t="s">
        <v>6</v>
      </c>
      <c r="G84" s="18" t="s">
        <v>6</v>
      </c>
      <c r="H84" s="18" t="s">
        <v>6</v>
      </c>
      <c r="I84" s="44">
        <f>SUM(I85:I87)</f>
        <v>0</v>
      </c>
      <c r="J84" s="44">
        <f>SUM(J85:J87)</f>
        <v>0</v>
      </c>
      <c r="K84" s="44">
        <f>SUM(K85:K87)</f>
        <v>0</v>
      </c>
      <c r="L84" s="32"/>
      <c r="M84" s="35"/>
      <c r="AI84" s="37"/>
      <c r="AS84" s="44">
        <f>SUM(AJ85:AJ87)</f>
        <v>0</v>
      </c>
      <c r="AT84" s="44">
        <f>SUM(AK85:AK87)</f>
        <v>0</v>
      </c>
      <c r="AU84" s="44">
        <f>SUM(AL85:AL87)</f>
        <v>0</v>
      </c>
    </row>
    <row r="85" spans="1:64" ht="12.75">
      <c r="A85" s="4" t="s">
        <v>64</v>
      </c>
      <c r="B85" s="13" t="s">
        <v>129</v>
      </c>
      <c r="C85" s="93" t="s">
        <v>205</v>
      </c>
      <c r="D85" s="94"/>
      <c r="E85" s="94"/>
      <c r="F85" s="13" t="s">
        <v>220</v>
      </c>
      <c r="G85" s="20">
        <v>6.44</v>
      </c>
      <c r="H85" s="20">
        <v>0</v>
      </c>
      <c r="I85" s="20">
        <f>G85*AO85</f>
        <v>0</v>
      </c>
      <c r="J85" s="20">
        <f>G85*AP85</f>
        <v>0</v>
      </c>
      <c r="K85" s="20">
        <f>G85*H85</f>
        <v>0</v>
      </c>
      <c r="L85" s="31" t="s">
        <v>239</v>
      </c>
      <c r="M85" s="35"/>
      <c r="Z85" s="38">
        <f>IF(AQ85="5",BJ85,0)</f>
        <v>0</v>
      </c>
      <c r="AB85" s="38">
        <f>IF(AQ85="1",BH85,0)</f>
        <v>0</v>
      </c>
      <c r="AC85" s="38">
        <f>IF(AQ85="1",BI85,0)</f>
        <v>0</v>
      </c>
      <c r="AD85" s="38">
        <f>IF(AQ85="7",BH85,0)</f>
        <v>0</v>
      </c>
      <c r="AE85" s="38">
        <f>IF(AQ85="7",BI85,0)</f>
        <v>0</v>
      </c>
      <c r="AF85" s="38">
        <f>IF(AQ85="2",BH85,0)</f>
        <v>0</v>
      </c>
      <c r="AG85" s="38">
        <f>IF(AQ85="2",BI85,0)</f>
        <v>0</v>
      </c>
      <c r="AH85" s="38">
        <f>IF(AQ85="0",BJ85,0)</f>
        <v>0</v>
      </c>
      <c r="AI85" s="37"/>
      <c r="AJ85" s="20">
        <f>IF(AN85=0,K85,0)</f>
        <v>0</v>
      </c>
      <c r="AK85" s="20">
        <f>IF(AN85=15,K85,0)</f>
        <v>0</v>
      </c>
      <c r="AL85" s="20">
        <f>IF(AN85=21,K85,0)</f>
        <v>0</v>
      </c>
      <c r="AN85" s="38">
        <v>21</v>
      </c>
      <c r="AO85" s="38">
        <f>H85*0</f>
        <v>0</v>
      </c>
      <c r="AP85" s="38">
        <f>H85*(1-0)</f>
        <v>0</v>
      </c>
      <c r="AQ85" s="39" t="s">
        <v>8</v>
      </c>
      <c r="AV85" s="38">
        <f>AW85+AX85</f>
        <v>0</v>
      </c>
      <c r="AW85" s="38">
        <f>G85*AO85</f>
        <v>0</v>
      </c>
      <c r="AX85" s="38">
        <f>G85*AP85</f>
        <v>0</v>
      </c>
      <c r="AY85" s="41" t="s">
        <v>264</v>
      </c>
      <c r="AZ85" s="41" t="s">
        <v>274</v>
      </c>
      <c r="BA85" s="37" t="s">
        <v>275</v>
      </c>
      <c r="BC85" s="38">
        <f>AW85+AX85</f>
        <v>0</v>
      </c>
      <c r="BD85" s="38">
        <f>H85/(100-BE85)*100</f>
        <v>0</v>
      </c>
      <c r="BE85" s="38">
        <v>0</v>
      </c>
      <c r="BF85" s="38">
        <f>85</f>
        <v>85</v>
      </c>
      <c r="BH85" s="20">
        <f>G85*AO85</f>
        <v>0</v>
      </c>
      <c r="BI85" s="20">
        <f>G85*AP85</f>
        <v>0</v>
      </c>
      <c r="BJ85" s="20">
        <f>G85*H85</f>
        <v>0</v>
      </c>
      <c r="BK85" s="20" t="s">
        <v>280</v>
      </c>
      <c r="BL85" s="38" t="s">
        <v>128</v>
      </c>
    </row>
    <row r="86" spans="1:64" ht="12.75">
      <c r="A86" s="4" t="s">
        <v>65</v>
      </c>
      <c r="B86" s="13" t="s">
        <v>130</v>
      </c>
      <c r="C86" s="93" t="s">
        <v>206</v>
      </c>
      <c r="D86" s="94"/>
      <c r="E86" s="94"/>
      <c r="F86" s="13" t="s">
        <v>220</v>
      </c>
      <c r="G86" s="20">
        <v>6.44</v>
      </c>
      <c r="H86" s="20">
        <v>0</v>
      </c>
      <c r="I86" s="20">
        <f>G86*AO86</f>
        <v>0</v>
      </c>
      <c r="J86" s="20">
        <f>G86*AP86</f>
        <v>0</v>
      </c>
      <c r="K86" s="20">
        <f>G86*H86</f>
        <v>0</v>
      </c>
      <c r="L86" s="31" t="s">
        <v>239</v>
      </c>
      <c r="M86" s="35"/>
      <c r="Z86" s="38">
        <f>IF(AQ86="5",BJ86,0)</f>
        <v>0</v>
      </c>
      <c r="AB86" s="38">
        <f>IF(AQ86="1",BH86,0)</f>
        <v>0</v>
      </c>
      <c r="AC86" s="38">
        <f>IF(AQ86="1",BI86,0)</f>
        <v>0</v>
      </c>
      <c r="AD86" s="38">
        <f>IF(AQ86="7",BH86,0)</f>
        <v>0</v>
      </c>
      <c r="AE86" s="38">
        <f>IF(AQ86="7",BI86,0)</f>
        <v>0</v>
      </c>
      <c r="AF86" s="38">
        <f>IF(AQ86="2",BH86,0)</f>
        <v>0</v>
      </c>
      <c r="AG86" s="38">
        <f>IF(AQ86="2",BI86,0)</f>
        <v>0</v>
      </c>
      <c r="AH86" s="38">
        <f>IF(AQ86="0",BJ86,0)</f>
        <v>0</v>
      </c>
      <c r="AI86" s="37"/>
      <c r="AJ86" s="20">
        <f>IF(AN86=0,K86,0)</f>
        <v>0</v>
      </c>
      <c r="AK86" s="20">
        <f>IF(AN86=15,K86,0)</f>
        <v>0</v>
      </c>
      <c r="AL86" s="20">
        <f>IF(AN86=21,K86,0)</f>
        <v>0</v>
      </c>
      <c r="AN86" s="38">
        <v>21</v>
      </c>
      <c r="AO86" s="38">
        <f>H86*0.451754385964912</f>
        <v>0</v>
      </c>
      <c r="AP86" s="38">
        <f>H86*(1-0.451754385964912)</f>
        <v>0</v>
      </c>
      <c r="AQ86" s="39" t="s">
        <v>7</v>
      </c>
      <c r="AV86" s="38">
        <f>AW86+AX86</f>
        <v>0</v>
      </c>
      <c r="AW86" s="38">
        <f>G86*AO86</f>
        <v>0</v>
      </c>
      <c r="AX86" s="38">
        <f>G86*AP86</f>
        <v>0</v>
      </c>
      <c r="AY86" s="41" t="s">
        <v>264</v>
      </c>
      <c r="AZ86" s="41" t="s">
        <v>274</v>
      </c>
      <c r="BA86" s="37" t="s">
        <v>275</v>
      </c>
      <c r="BC86" s="38">
        <f>AW86+AX86</f>
        <v>0</v>
      </c>
      <c r="BD86" s="38">
        <f>H86/(100-BE86)*100</f>
        <v>0</v>
      </c>
      <c r="BE86" s="38">
        <v>0</v>
      </c>
      <c r="BF86" s="38">
        <f>86</f>
        <v>86</v>
      </c>
      <c r="BH86" s="20">
        <f>G86*AO86</f>
        <v>0</v>
      </c>
      <c r="BI86" s="20">
        <f>G86*AP86</f>
        <v>0</v>
      </c>
      <c r="BJ86" s="20">
        <f>G86*H86</f>
        <v>0</v>
      </c>
      <c r="BK86" s="20" t="s">
        <v>280</v>
      </c>
      <c r="BL86" s="38" t="s">
        <v>128</v>
      </c>
    </row>
    <row r="87" spans="1:64" ht="12.75">
      <c r="A87" s="4" t="s">
        <v>66</v>
      </c>
      <c r="B87" s="13" t="s">
        <v>79</v>
      </c>
      <c r="C87" s="93" t="s">
        <v>147</v>
      </c>
      <c r="D87" s="94"/>
      <c r="E87" s="94"/>
      <c r="F87" s="13" t="s">
        <v>221</v>
      </c>
      <c r="G87" s="20">
        <v>0.47353</v>
      </c>
      <c r="H87" s="20">
        <v>0</v>
      </c>
      <c r="I87" s="20">
        <f>G87*AO87</f>
        <v>0</v>
      </c>
      <c r="J87" s="20">
        <f>G87*AP87</f>
        <v>0</v>
      </c>
      <c r="K87" s="20">
        <f>G87*H87</f>
        <v>0</v>
      </c>
      <c r="L87" s="31" t="s">
        <v>239</v>
      </c>
      <c r="M87" s="35"/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37"/>
      <c r="AJ87" s="20">
        <f>IF(AN87=0,K87,0)</f>
        <v>0</v>
      </c>
      <c r="AK87" s="20">
        <f>IF(AN87=15,K87,0)</f>
        <v>0</v>
      </c>
      <c r="AL87" s="20">
        <f>IF(AN87=21,K87,0)</f>
        <v>0</v>
      </c>
      <c r="AN87" s="38">
        <v>21</v>
      </c>
      <c r="AO87" s="38">
        <f>H87*0</f>
        <v>0</v>
      </c>
      <c r="AP87" s="38">
        <f>H87*(1-0)</f>
        <v>0</v>
      </c>
      <c r="AQ87" s="39" t="s">
        <v>11</v>
      </c>
      <c r="AV87" s="38">
        <f>AW87+AX87</f>
        <v>0</v>
      </c>
      <c r="AW87" s="38">
        <f>G87*AO87</f>
        <v>0</v>
      </c>
      <c r="AX87" s="38">
        <f>G87*AP87</f>
        <v>0</v>
      </c>
      <c r="AY87" s="41" t="s">
        <v>264</v>
      </c>
      <c r="AZ87" s="41" t="s">
        <v>274</v>
      </c>
      <c r="BA87" s="37" t="s">
        <v>275</v>
      </c>
      <c r="BC87" s="38">
        <f>AW87+AX87</f>
        <v>0</v>
      </c>
      <c r="BD87" s="38">
        <f>H87/(100-BE87)*100</f>
        <v>0</v>
      </c>
      <c r="BE87" s="38">
        <v>0</v>
      </c>
      <c r="BF87" s="38">
        <f>87</f>
        <v>87</v>
      </c>
      <c r="BH87" s="20">
        <f>G87*AO87</f>
        <v>0</v>
      </c>
      <c r="BI87" s="20">
        <f>G87*AP87</f>
        <v>0</v>
      </c>
      <c r="BJ87" s="20">
        <f>G87*H87</f>
        <v>0</v>
      </c>
      <c r="BK87" s="20" t="s">
        <v>280</v>
      </c>
      <c r="BL87" s="38" t="s">
        <v>128</v>
      </c>
    </row>
    <row r="88" spans="1:47" ht="12.75">
      <c r="A88" s="5"/>
      <c r="B88" s="14" t="s">
        <v>131</v>
      </c>
      <c r="C88" s="95" t="s">
        <v>207</v>
      </c>
      <c r="D88" s="96"/>
      <c r="E88" s="96"/>
      <c r="F88" s="18" t="s">
        <v>6</v>
      </c>
      <c r="G88" s="18" t="s">
        <v>6</v>
      </c>
      <c r="H88" s="18" t="s">
        <v>6</v>
      </c>
      <c r="I88" s="44">
        <f>SUM(I89:I93)</f>
        <v>0</v>
      </c>
      <c r="J88" s="44">
        <f>SUM(J89:J93)</f>
        <v>0</v>
      </c>
      <c r="K88" s="44">
        <f>SUM(K89:K93)</f>
        <v>0</v>
      </c>
      <c r="L88" s="32"/>
      <c r="M88" s="35"/>
      <c r="AI88" s="37"/>
      <c r="AS88" s="44">
        <f>SUM(AJ89:AJ93)</f>
        <v>0</v>
      </c>
      <c r="AT88" s="44">
        <f>SUM(AK89:AK93)</f>
        <v>0</v>
      </c>
      <c r="AU88" s="44">
        <f>SUM(AL89:AL93)</f>
        <v>0</v>
      </c>
    </row>
    <row r="89" spans="1:64" ht="12.75">
      <c r="A89" s="4" t="s">
        <v>67</v>
      </c>
      <c r="B89" s="13" t="s">
        <v>132</v>
      </c>
      <c r="C89" s="93" t="s">
        <v>208</v>
      </c>
      <c r="D89" s="94"/>
      <c r="E89" s="94"/>
      <c r="F89" s="13" t="s">
        <v>221</v>
      </c>
      <c r="G89" s="20">
        <v>89.7</v>
      </c>
      <c r="H89" s="20">
        <v>0</v>
      </c>
      <c r="I89" s="20">
        <f>G89*AO89</f>
        <v>0</v>
      </c>
      <c r="J89" s="20">
        <f>G89*AP89</f>
        <v>0</v>
      </c>
      <c r="K89" s="20">
        <f>G89*H89</f>
        <v>0</v>
      </c>
      <c r="L89" s="31" t="s">
        <v>239</v>
      </c>
      <c r="M89" s="35"/>
      <c r="Z89" s="38">
        <f>IF(AQ89="5",BJ89,0)</f>
        <v>0</v>
      </c>
      <c r="AB89" s="38">
        <f>IF(AQ89="1",BH89,0)</f>
        <v>0</v>
      </c>
      <c r="AC89" s="38">
        <f>IF(AQ89="1",BI89,0)</f>
        <v>0</v>
      </c>
      <c r="AD89" s="38">
        <f>IF(AQ89="7",BH89,0)</f>
        <v>0</v>
      </c>
      <c r="AE89" s="38">
        <f>IF(AQ89="7",BI89,0)</f>
        <v>0</v>
      </c>
      <c r="AF89" s="38">
        <f>IF(AQ89="2",BH89,0)</f>
        <v>0</v>
      </c>
      <c r="AG89" s="38">
        <f>IF(AQ89="2",BI89,0)</f>
        <v>0</v>
      </c>
      <c r="AH89" s="38">
        <f>IF(AQ89="0",BJ89,0)</f>
        <v>0</v>
      </c>
      <c r="AI89" s="37"/>
      <c r="AJ89" s="20">
        <f>IF(AN89=0,K89,0)</f>
        <v>0</v>
      </c>
      <c r="AK89" s="20">
        <f>IF(AN89=15,K89,0)</f>
        <v>0</v>
      </c>
      <c r="AL89" s="20">
        <f>IF(AN89=21,K89,0)</f>
        <v>0</v>
      </c>
      <c r="AN89" s="38">
        <v>21</v>
      </c>
      <c r="AO89" s="38">
        <f>H89*0</f>
        <v>0</v>
      </c>
      <c r="AP89" s="38">
        <f>H89*(1-0)</f>
        <v>0</v>
      </c>
      <c r="AQ89" s="39" t="s">
        <v>11</v>
      </c>
      <c r="AV89" s="38">
        <f>AW89+AX89</f>
        <v>0</v>
      </c>
      <c r="AW89" s="38">
        <f>G89*AO89</f>
        <v>0</v>
      </c>
      <c r="AX89" s="38">
        <f>G89*AP89</f>
        <v>0</v>
      </c>
      <c r="AY89" s="41" t="s">
        <v>265</v>
      </c>
      <c r="AZ89" s="41" t="s">
        <v>274</v>
      </c>
      <c r="BA89" s="37" t="s">
        <v>275</v>
      </c>
      <c r="BC89" s="38">
        <f>AW89+AX89</f>
        <v>0</v>
      </c>
      <c r="BD89" s="38">
        <f>H89/(100-BE89)*100</f>
        <v>0</v>
      </c>
      <c r="BE89" s="38">
        <v>0</v>
      </c>
      <c r="BF89" s="38">
        <f>89</f>
        <v>89</v>
      </c>
      <c r="BH89" s="20">
        <f>G89*AO89</f>
        <v>0</v>
      </c>
      <c r="BI89" s="20">
        <f>G89*AP89</f>
        <v>0</v>
      </c>
      <c r="BJ89" s="20">
        <f>G89*H89</f>
        <v>0</v>
      </c>
      <c r="BK89" s="20" t="s">
        <v>280</v>
      </c>
      <c r="BL89" s="38" t="s">
        <v>131</v>
      </c>
    </row>
    <row r="90" spans="1:64" ht="12.75">
      <c r="A90" s="4" t="s">
        <v>68</v>
      </c>
      <c r="B90" s="13" t="s">
        <v>133</v>
      </c>
      <c r="C90" s="93" t="s">
        <v>209</v>
      </c>
      <c r="D90" s="94"/>
      <c r="E90" s="94"/>
      <c r="F90" s="13" t="s">
        <v>221</v>
      </c>
      <c r="G90" s="20">
        <v>897</v>
      </c>
      <c r="H90" s="20">
        <v>0</v>
      </c>
      <c r="I90" s="20">
        <f>G90*AO90</f>
        <v>0</v>
      </c>
      <c r="J90" s="20">
        <f>G90*AP90</f>
        <v>0</v>
      </c>
      <c r="K90" s="20">
        <f>G90*H90</f>
        <v>0</v>
      </c>
      <c r="L90" s="31" t="s">
        <v>239</v>
      </c>
      <c r="M90" s="35"/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37"/>
      <c r="AJ90" s="20">
        <f>IF(AN90=0,K90,0)</f>
        <v>0</v>
      </c>
      <c r="AK90" s="20">
        <f>IF(AN90=15,K90,0)</f>
        <v>0</v>
      </c>
      <c r="AL90" s="20">
        <f>IF(AN90=21,K90,0)</f>
        <v>0</v>
      </c>
      <c r="AN90" s="38">
        <v>21</v>
      </c>
      <c r="AO90" s="38">
        <f>H90*0</f>
        <v>0</v>
      </c>
      <c r="AP90" s="38">
        <f>H90*(1-0)</f>
        <v>0</v>
      </c>
      <c r="AQ90" s="39" t="s">
        <v>11</v>
      </c>
      <c r="AV90" s="38">
        <f>AW90+AX90</f>
        <v>0</v>
      </c>
      <c r="AW90" s="38">
        <f>G90*AO90</f>
        <v>0</v>
      </c>
      <c r="AX90" s="38">
        <f>G90*AP90</f>
        <v>0</v>
      </c>
      <c r="AY90" s="41" t="s">
        <v>265</v>
      </c>
      <c r="AZ90" s="41" t="s">
        <v>274</v>
      </c>
      <c r="BA90" s="37" t="s">
        <v>275</v>
      </c>
      <c r="BC90" s="38">
        <f>AW90+AX90</f>
        <v>0</v>
      </c>
      <c r="BD90" s="38">
        <f>H90/(100-BE90)*100</f>
        <v>0</v>
      </c>
      <c r="BE90" s="38">
        <v>0</v>
      </c>
      <c r="BF90" s="38">
        <f>90</f>
        <v>90</v>
      </c>
      <c r="BH90" s="20">
        <f>G90*AO90</f>
        <v>0</v>
      </c>
      <c r="BI90" s="20">
        <f>G90*AP90</f>
        <v>0</v>
      </c>
      <c r="BJ90" s="20">
        <f>G90*H90</f>
        <v>0</v>
      </c>
      <c r="BK90" s="20" t="s">
        <v>280</v>
      </c>
      <c r="BL90" s="38" t="s">
        <v>131</v>
      </c>
    </row>
    <row r="91" spans="1:64" ht="12.75">
      <c r="A91" s="4" t="s">
        <v>69</v>
      </c>
      <c r="B91" s="13" t="s">
        <v>134</v>
      </c>
      <c r="C91" s="93" t="s">
        <v>210</v>
      </c>
      <c r="D91" s="94"/>
      <c r="E91" s="94"/>
      <c r="F91" s="13" t="s">
        <v>221</v>
      </c>
      <c r="G91" s="20">
        <v>89.7</v>
      </c>
      <c r="H91" s="20">
        <v>0</v>
      </c>
      <c r="I91" s="20">
        <f>G91*AO91</f>
        <v>0</v>
      </c>
      <c r="J91" s="20">
        <f>G91*AP91</f>
        <v>0</v>
      </c>
      <c r="K91" s="20">
        <f>G91*H91</f>
        <v>0</v>
      </c>
      <c r="L91" s="31" t="s">
        <v>239</v>
      </c>
      <c r="M91" s="35"/>
      <c r="Z91" s="38">
        <f>IF(AQ91="5",BJ91,0)</f>
        <v>0</v>
      </c>
      <c r="AB91" s="38">
        <f>IF(AQ91="1",BH91,0)</f>
        <v>0</v>
      </c>
      <c r="AC91" s="38">
        <f>IF(AQ91="1",BI91,0)</f>
        <v>0</v>
      </c>
      <c r="AD91" s="38">
        <f>IF(AQ91="7",BH91,0)</f>
        <v>0</v>
      </c>
      <c r="AE91" s="38">
        <f>IF(AQ91="7",BI91,0)</f>
        <v>0</v>
      </c>
      <c r="AF91" s="38">
        <f>IF(AQ91="2",BH91,0)</f>
        <v>0</v>
      </c>
      <c r="AG91" s="38">
        <f>IF(AQ91="2",BI91,0)</f>
        <v>0</v>
      </c>
      <c r="AH91" s="38">
        <f>IF(AQ91="0",BJ91,0)</f>
        <v>0</v>
      </c>
      <c r="AI91" s="37"/>
      <c r="AJ91" s="20">
        <f>IF(AN91=0,K91,0)</f>
        <v>0</v>
      </c>
      <c r="AK91" s="20">
        <f>IF(AN91=15,K91,0)</f>
        <v>0</v>
      </c>
      <c r="AL91" s="20">
        <f>IF(AN91=21,K91,0)</f>
        <v>0</v>
      </c>
      <c r="AN91" s="38">
        <v>21</v>
      </c>
      <c r="AO91" s="38">
        <f>H91*0</f>
        <v>0</v>
      </c>
      <c r="AP91" s="38">
        <f>H91*(1-0)</f>
        <v>0</v>
      </c>
      <c r="AQ91" s="39" t="s">
        <v>11</v>
      </c>
      <c r="AV91" s="38">
        <f>AW91+AX91</f>
        <v>0</v>
      </c>
      <c r="AW91" s="38">
        <f>G91*AO91</f>
        <v>0</v>
      </c>
      <c r="AX91" s="38">
        <f>G91*AP91</f>
        <v>0</v>
      </c>
      <c r="AY91" s="41" t="s">
        <v>265</v>
      </c>
      <c r="AZ91" s="41" t="s">
        <v>274</v>
      </c>
      <c r="BA91" s="37" t="s">
        <v>275</v>
      </c>
      <c r="BC91" s="38">
        <f>AW91+AX91</f>
        <v>0</v>
      </c>
      <c r="BD91" s="38">
        <f>H91/(100-BE91)*100</f>
        <v>0</v>
      </c>
      <c r="BE91" s="38">
        <v>0</v>
      </c>
      <c r="BF91" s="38">
        <f>91</f>
        <v>91</v>
      </c>
      <c r="BH91" s="20">
        <f>G91*AO91</f>
        <v>0</v>
      </c>
      <c r="BI91" s="20">
        <f>G91*AP91</f>
        <v>0</v>
      </c>
      <c r="BJ91" s="20">
        <f>G91*H91</f>
        <v>0</v>
      </c>
      <c r="BK91" s="20" t="s">
        <v>280</v>
      </c>
      <c r="BL91" s="38" t="s">
        <v>131</v>
      </c>
    </row>
    <row r="92" spans="1:64" ht="12.75">
      <c r="A92" s="4" t="s">
        <v>70</v>
      </c>
      <c r="B92" s="13" t="s">
        <v>135</v>
      </c>
      <c r="C92" s="93" t="s">
        <v>211</v>
      </c>
      <c r="D92" s="94"/>
      <c r="E92" s="94"/>
      <c r="F92" s="13" t="s">
        <v>221</v>
      </c>
      <c r="G92" s="20">
        <v>89.7</v>
      </c>
      <c r="H92" s="20">
        <v>0</v>
      </c>
      <c r="I92" s="20">
        <f>G92*AO92</f>
        <v>0</v>
      </c>
      <c r="J92" s="20">
        <f>G92*AP92</f>
        <v>0</v>
      </c>
      <c r="K92" s="20">
        <f>G92*H92</f>
        <v>0</v>
      </c>
      <c r="L92" s="31" t="s">
        <v>239</v>
      </c>
      <c r="M92" s="35"/>
      <c r="Z92" s="38">
        <f>IF(AQ92="5",BJ92,0)</f>
        <v>0</v>
      </c>
      <c r="AB92" s="38">
        <f>IF(AQ92="1",BH92,0)</f>
        <v>0</v>
      </c>
      <c r="AC92" s="38">
        <f>IF(AQ92="1",BI92,0)</f>
        <v>0</v>
      </c>
      <c r="AD92" s="38">
        <f>IF(AQ92="7",BH92,0)</f>
        <v>0</v>
      </c>
      <c r="AE92" s="38">
        <f>IF(AQ92="7",BI92,0)</f>
        <v>0</v>
      </c>
      <c r="AF92" s="38">
        <f>IF(AQ92="2",BH92,0)</f>
        <v>0</v>
      </c>
      <c r="AG92" s="38">
        <f>IF(AQ92="2",BI92,0)</f>
        <v>0</v>
      </c>
      <c r="AH92" s="38">
        <f>IF(AQ92="0",BJ92,0)</f>
        <v>0</v>
      </c>
      <c r="AI92" s="37"/>
      <c r="AJ92" s="20">
        <f>IF(AN92=0,K92,0)</f>
        <v>0</v>
      </c>
      <c r="AK92" s="20">
        <f>IF(AN92=15,K92,0)</f>
        <v>0</v>
      </c>
      <c r="AL92" s="20">
        <f>IF(AN92=21,K92,0)</f>
        <v>0</v>
      </c>
      <c r="AN92" s="38">
        <v>21</v>
      </c>
      <c r="AO92" s="38">
        <f>H92*0</f>
        <v>0</v>
      </c>
      <c r="AP92" s="38">
        <f>H92*(1-0)</f>
        <v>0</v>
      </c>
      <c r="AQ92" s="39" t="s">
        <v>11</v>
      </c>
      <c r="AV92" s="38">
        <f>AW92+AX92</f>
        <v>0</v>
      </c>
      <c r="AW92" s="38">
        <f>G92*AO92</f>
        <v>0</v>
      </c>
      <c r="AX92" s="38">
        <f>G92*AP92</f>
        <v>0</v>
      </c>
      <c r="AY92" s="41" t="s">
        <v>265</v>
      </c>
      <c r="AZ92" s="41" t="s">
        <v>274</v>
      </c>
      <c r="BA92" s="37" t="s">
        <v>275</v>
      </c>
      <c r="BC92" s="38">
        <f>AW92+AX92</f>
        <v>0</v>
      </c>
      <c r="BD92" s="38">
        <f>H92/(100-BE92)*100</f>
        <v>0</v>
      </c>
      <c r="BE92" s="38">
        <v>0</v>
      </c>
      <c r="BF92" s="38">
        <f>92</f>
        <v>92</v>
      </c>
      <c r="BH92" s="20">
        <f>G92*AO92</f>
        <v>0</v>
      </c>
      <c r="BI92" s="20">
        <f>G92*AP92</f>
        <v>0</v>
      </c>
      <c r="BJ92" s="20">
        <f>G92*H92</f>
        <v>0</v>
      </c>
      <c r="BK92" s="20" t="s">
        <v>280</v>
      </c>
      <c r="BL92" s="38" t="s">
        <v>131</v>
      </c>
    </row>
    <row r="93" spans="1:64" ht="12.75">
      <c r="A93" s="7" t="s">
        <v>71</v>
      </c>
      <c r="B93" s="16" t="s">
        <v>136</v>
      </c>
      <c r="C93" s="99" t="s">
        <v>212</v>
      </c>
      <c r="D93" s="100"/>
      <c r="E93" s="100"/>
      <c r="F93" s="16" t="s">
        <v>221</v>
      </c>
      <c r="G93" s="22">
        <v>89.7</v>
      </c>
      <c r="H93" s="22">
        <v>0</v>
      </c>
      <c r="I93" s="22">
        <f>G93*AO93</f>
        <v>0</v>
      </c>
      <c r="J93" s="22">
        <f>G93*AP93</f>
        <v>0</v>
      </c>
      <c r="K93" s="22">
        <f>G93*H93</f>
        <v>0</v>
      </c>
      <c r="L93" s="34" t="s">
        <v>239</v>
      </c>
      <c r="M93" s="35"/>
      <c r="Z93" s="38">
        <f>IF(AQ93="5",BJ93,0)</f>
        <v>0</v>
      </c>
      <c r="AB93" s="38">
        <f>IF(AQ93="1",BH93,0)</f>
        <v>0</v>
      </c>
      <c r="AC93" s="38">
        <f>IF(AQ93="1",BI93,0)</f>
        <v>0</v>
      </c>
      <c r="AD93" s="38">
        <f>IF(AQ93="7",BH93,0)</f>
        <v>0</v>
      </c>
      <c r="AE93" s="38">
        <f>IF(AQ93="7",BI93,0)</f>
        <v>0</v>
      </c>
      <c r="AF93" s="38">
        <f>IF(AQ93="2",BH93,0)</f>
        <v>0</v>
      </c>
      <c r="AG93" s="38">
        <f>IF(AQ93="2",BI93,0)</f>
        <v>0</v>
      </c>
      <c r="AH93" s="38">
        <f>IF(AQ93="0",BJ93,0)</f>
        <v>0</v>
      </c>
      <c r="AI93" s="37"/>
      <c r="AJ93" s="20">
        <f>IF(AN93=0,K93,0)</f>
        <v>0</v>
      </c>
      <c r="AK93" s="20">
        <f>IF(AN93=15,K93,0)</f>
        <v>0</v>
      </c>
      <c r="AL93" s="20">
        <f>IF(AN93=21,K93,0)</f>
        <v>0</v>
      </c>
      <c r="AN93" s="38">
        <v>21</v>
      </c>
      <c r="AO93" s="38">
        <f>H93*0</f>
        <v>0</v>
      </c>
      <c r="AP93" s="38">
        <f>H93*(1-0)</f>
        <v>0</v>
      </c>
      <c r="AQ93" s="39" t="s">
        <v>11</v>
      </c>
      <c r="AV93" s="38">
        <f>AW93+AX93</f>
        <v>0</v>
      </c>
      <c r="AW93" s="38">
        <f>G93*AO93</f>
        <v>0</v>
      </c>
      <c r="AX93" s="38">
        <f>G93*AP93</f>
        <v>0</v>
      </c>
      <c r="AY93" s="41" t="s">
        <v>265</v>
      </c>
      <c r="AZ93" s="41" t="s">
        <v>274</v>
      </c>
      <c r="BA93" s="37" t="s">
        <v>275</v>
      </c>
      <c r="BC93" s="38">
        <f>AW93+AX93</f>
        <v>0</v>
      </c>
      <c r="BD93" s="38">
        <f>H93/(100-BE93)*100</f>
        <v>0</v>
      </c>
      <c r="BE93" s="38">
        <v>0</v>
      </c>
      <c r="BF93" s="38">
        <f>93</f>
        <v>93</v>
      </c>
      <c r="BH93" s="20">
        <f>G93*AO93</f>
        <v>0</v>
      </c>
      <c r="BI93" s="20">
        <f>G93*AP93</f>
        <v>0</v>
      </c>
      <c r="BJ93" s="20">
        <f>G93*H93</f>
        <v>0</v>
      </c>
      <c r="BK93" s="20" t="s">
        <v>280</v>
      </c>
      <c r="BL93" s="38" t="s">
        <v>131</v>
      </c>
    </row>
    <row r="94" spans="1:12" ht="12.75">
      <c r="A94" s="8"/>
      <c r="B94" s="8"/>
      <c r="C94" s="8"/>
      <c r="D94" s="8"/>
      <c r="E94" s="8"/>
      <c r="F94" s="8"/>
      <c r="G94" s="8"/>
      <c r="H94" s="8"/>
      <c r="I94" s="101" t="s">
        <v>234</v>
      </c>
      <c r="J94" s="102"/>
      <c r="K94" s="45">
        <f>K12+K15+K17+K20+K26+K29+K32+K34+K39+K45+K48+K52+K70+K72+K79+K84+K88</f>
        <v>0</v>
      </c>
      <c r="L94" s="8"/>
    </row>
    <row r="95" ht="11.25" customHeight="1">
      <c r="A95" s="9" t="s">
        <v>72</v>
      </c>
    </row>
    <row r="96" spans="1:12" ht="12.75">
      <c r="A96" s="77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</sheetData>
  <sheetProtection/>
  <mergeCells count="112">
    <mergeCell ref="C93:E93"/>
    <mergeCell ref="I94:J94"/>
    <mergeCell ref="A96:L96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47.00390625" style="0" customWidth="1"/>
  </cols>
  <sheetData>
    <row r="1" spans="1:9" ht="72.75" customHeight="1">
      <c r="A1" s="63"/>
      <c r="B1" s="46"/>
      <c r="C1" s="103" t="s">
        <v>298</v>
      </c>
      <c r="D1" s="65"/>
      <c r="E1" s="65"/>
      <c r="F1" s="65"/>
      <c r="G1" s="65"/>
      <c r="H1" s="65"/>
      <c r="I1" s="65"/>
    </row>
    <row r="2" spans="1:10" ht="12.75">
      <c r="A2" s="66" t="s">
        <v>1</v>
      </c>
      <c r="B2" s="67"/>
      <c r="C2" s="70" t="str">
        <f>'Stavební rozpočet'!C2</f>
        <v>Sanace suterénu kotelny Dělnického domu ve Studénce</v>
      </c>
      <c r="D2" s="102"/>
      <c r="E2" s="73" t="s">
        <v>225</v>
      </c>
      <c r="F2" s="73" t="str">
        <f>'Stavební rozpočet'!I2</f>
        <v> </v>
      </c>
      <c r="G2" s="67"/>
      <c r="H2" s="73" t="s">
        <v>323</v>
      </c>
      <c r="I2" s="104"/>
      <c r="J2" s="35"/>
    </row>
    <row r="3" spans="1:10" ht="12.75">
      <c r="A3" s="68"/>
      <c r="B3" s="69"/>
      <c r="C3" s="71"/>
      <c r="D3" s="71"/>
      <c r="E3" s="69"/>
      <c r="F3" s="69"/>
      <c r="G3" s="69"/>
      <c r="H3" s="69"/>
      <c r="I3" s="75"/>
      <c r="J3" s="35"/>
    </row>
    <row r="4" spans="1:10" ht="12.75">
      <c r="A4" s="76" t="s">
        <v>2</v>
      </c>
      <c r="B4" s="69"/>
      <c r="C4" s="77" t="str">
        <f>'Stavební rozpočet'!C4</f>
        <v> </v>
      </c>
      <c r="D4" s="69"/>
      <c r="E4" s="77" t="s">
        <v>226</v>
      </c>
      <c r="F4" s="77" t="str">
        <f>'Stavební rozpočet'!I4</f>
        <v> </v>
      </c>
      <c r="G4" s="69"/>
      <c r="H4" s="77" t="s">
        <v>323</v>
      </c>
      <c r="I4" s="105"/>
      <c r="J4" s="35"/>
    </row>
    <row r="5" spans="1:10" ht="12.75">
      <c r="A5" s="68"/>
      <c r="B5" s="69"/>
      <c r="C5" s="69"/>
      <c r="D5" s="69"/>
      <c r="E5" s="69"/>
      <c r="F5" s="69"/>
      <c r="G5" s="69"/>
      <c r="H5" s="69"/>
      <c r="I5" s="75"/>
      <c r="J5" s="35"/>
    </row>
    <row r="6" spans="1:10" ht="12.75">
      <c r="A6" s="76" t="s">
        <v>3</v>
      </c>
      <c r="B6" s="69"/>
      <c r="C6" s="77" t="str">
        <f>'Stavební rozpočet'!C6</f>
        <v> </v>
      </c>
      <c r="D6" s="69"/>
      <c r="E6" s="77" t="s">
        <v>227</v>
      </c>
      <c r="F6" s="77" t="str">
        <f>'Stavební rozpočet'!I6</f>
        <v> </v>
      </c>
      <c r="G6" s="69"/>
      <c r="H6" s="77" t="s">
        <v>323</v>
      </c>
      <c r="I6" s="105"/>
      <c r="J6" s="35"/>
    </row>
    <row r="7" spans="1:10" ht="12.75">
      <c r="A7" s="68"/>
      <c r="B7" s="69"/>
      <c r="C7" s="69"/>
      <c r="D7" s="69"/>
      <c r="E7" s="69"/>
      <c r="F7" s="69"/>
      <c r="G7" s="69"/>
      <c r="H7" s="69"/>
      <c r="I7" s="75"/>
      <c r="J7" s="35"/>
    </row>
    <row r="8" spans="1:10" ht="12.75">
      <c r="A8" s="76" t="s">
        <v>214</v>
      </c>
      <c r="B8" s="69"/>
      <c r="C8" s="77"/>
      <c r="D8" s="69"/>
      <c r="E8" s="77" t="s">
        <v>215</v>
      </c>
      <c r="F8" s="77" t="str">
        <f>'Stavební rozpočet'!F6</f>
        <v> </v>
      </c>
      <c r="G8" s="69"/>
      <c r="H8" s="78" t="s">
        <v>324</v>
      </c>
      <c r="I8" s="105" t="s">
        <v>71</v>
      </c>
      <c r="J8" s="35"/>
    </row>
    <row r="9" spans="1:10" ht="12.75">
      <c r="A9" s="68"/>
      <c r="B9" s="69"/>
      <c r="C9" s="69"/>
      <c r="D9" s="69"/>
      <c r="E9" s="69"/>
      <c r="F9" s="69"/>
      <c r="G9" s="69"/>
      <c r="H9" s="69"/>
      <c r="I9" s="75"/>
      <c r="J9" s="35"/>
    </row>
    <row r="10" spans="1:10" ht="12.75">
      <c r="A10" s="76" t="s">
        <v>4</v>
      </c>
      <c r="B10" s="69"/>
      <c r="C10" s="77" t="str">
        <f>'Stavební rozpočet'!C8</f>
        <v> </v>
      </c>
      <c r="D10" s="69"/>
      <c r="E10" s="77" t="s">
        <v>228</v>
      </c>
      <c r="F10" s="77" t="str">
        <f>'Stavební rozpočet'!I8</f>
        <v> </v>
      </c>
      <c r="G10" s="69"/>
      <c r="H10" s="78" t="s">
        <v>325</v>
      </c>
      <c r="I10" s="108"/>
      <c r="J10" s="35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09"/>
      <c r="J11" s="35"/>
    </row>
    <row r="12" spans="1:9" ht="23.25" customHeight="1">
      <c r="A12" s="110" t="s">
        <v>283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47" t="s">
        <v>284</v>
      </c>
      <c r="B13" s="112" t="s">
        <v>296</v>
      </c>
      <c r="C13" s="113"/>
      <c r="D13" s="47" t="s">
        <v>299</v>
      </c>
      <c r="E13" s="112" t="s">
        <v>308</v>
      </c>
      <c r="F13" s="113"/>
      <c r="G13" s="47" t="s">
        <v>309</v>
      </c>
      <c r="H13" s="112" t="s">
        <v>326</v>
      </c>
      <c r="I13" s="113"/>
      <c r="J13" s="35"/>
    </row>
    <row r="14" spans="1:10" ht="15" customHeight="1">
      <c r="A14" s="48" t="s">
        <v>285</v>
      </c>
      <c r="B14" s="52" t="s">
        <v>297</v>
      </c>
      <c r="C14" s="56">
        <f>SUM('Stavební rozpočet'!AB12:AB93)</f>
        <v>0</v>
      </c>
      <c r="D14" s="114" t="s">
        <v>300</v>
      </c>
      <c r="E14" s="115"/>
      <c r="F14" s="56">
        <v>0</v>
      </c>
      <c r="G14" s="114" t="s">
        <v>310</v>
      </c>
      <c r="H14" s="115"/>
      <c r="I14" s="56">
        <v>0</v>
      </c>
      <c r="J14" s="35"/>
    </row>
    <row r="15" spans="1:10" ht="15" customHeight="1">
      <c r="A15" s="49"/>
      <c r="B15" s="52" t="s">
        <v>235</v>
      </c>
      <c r="C15" s="56">
        <f>SUM('Stavební rozpočet'!AC12:AC93)</f>
        <v>0</v>
      </c>
      <c r="D15" s="114" t="s">
        <v>301</v>
      </c>
      <c r="E15" s="115"/>
      <c r="F15" s="56">
        <v>0</v>
      </c>
      <c r="G15" s="114" t="s">
        <v>311</v>
      </c>
      <c r="H15" s="115"/>
      <c r="I15" s="56">
        <v>0</v>
      </c>
      <c r="J15" s="35"/>
    </row>
    <row r="16" spans="1:10" ht="15" customHeight="1">
      <c r="A16" s="48" t="s">
        <v>286</v>
      </c>
      <c r="B16" s="52" t="s">
        <v>297</v>
      </c>
      <c r="C16" s="56">
        <f>SUM('Stavební rozpočet'!AD12:AD93)</f>
        <v>0</v>
      </c>
      <c r="D16" s="114" t="s">
        <v>302</v>
      </c>
      <c r="E16" s="115"/>
      <c r="F16" s="56">
        <v>0</v>
      </c>
      <c r="G16" s="114" t="s">
        <v>312</v>
      </c>
      <c r="H16" s="115"/>
      <c r="I16" s="56">
        <v>0</v>
      </c>
      <c r="J16" s="35"/>
    </row>
    <row r="17" spans="1:10" ht="15" customHeight="1">
      <c r="A17" s="49"/>
      <c r="B17" s="52" t="s">
        <v>235</v>
      </c>
      <c r="C17" s="56">
        <f>SUM('Stavební rozpočet'!AE12:AE93)</f>
        <v>0</v>
      </c>
      <c r="D17" s="114"/>
      <c r="E17" s="115"/>
      <c r="F17" s="57"/>
      <c r="G17" s="114" t="s">
        <v>313</v>
      </c>
      <c r="H17" s="115"/>
      <c r="I17" s="56">
        <v>0</v>
      </c>
      <c r="J17" s="35"/>
    </row>
    <row r="18" spans="1:10" ht="15" customHeight="1">
      <c r="A18" s="48" t="s">
        <v>287</v>
      </c>
      <c r="B18" s="52" t="s">
        <v>297</v>
      </c>
      <c r="C18" s="56">
        <f>SUM('Stavební rozpočet'!AF12:AF93)</f>
        <v>0</v>
      </c>
      <c r="D18" s="114"/>
      <c r="E18" s="115"/>
      <c r="F18" s="57"/>
      <c r="G18" s="114" t="s">
        <v>314</v>
      </c>
      <c r="H18" s="115"/>
      <c r="I18" s="56">
        <v>0</v>
      </c>
      <c r="J18" s="35"/>
    </row>
    <row r="19" spans="1:10" ht="15" customHeight="1">
      <c r="A19" s="49"/>
      <c r="B19" s="52" t="s">
        <v>235</v>
      </c>
      <c r="C19" s="56">
        <f>SUM('Stavební rozpočet'!AG12:AG93)</f>
        <v>0</v>
      </c>
      <c r="D19" s="114"/>
      <c r="E19" s="115"/>
      <c r="F19" s="57"/>
      <c r="G19" s="114" t="s">
        <v>315</v>
      </c>
      <c r="H19" s="115"/>
      <c r="I19" s="56">
        <v>0</v>
      </c>
      <c r="J19" s="35"/>
    </row>
    <row r="20" spans="1:10" ht="15" customHeight="1">
      <c r="A20" s="116" t="s">
        <v>288</v>
      </c>
      <c r="B20" s="117"/>
      <c r="C20" s="56">
        <f>SUM('Stavební rozpočet'!AH12:AH93)</f>
        <v>0</v>
      </c>
      <c r="D20" s="114"/>
      <c r="E20" s="115"/>
      <c r="F20" s="57"/>
      <c r="G20" s="114"/>
      <c r="H20" s="115"/>
      <c r="I20" s="57"/>
      <c r="J20" s="35"/>
    </row>
    <row r="21" spans="1:10" ht="15" customHeight="1">
      <c r="A21" s="116" t="s">
        <v>289</v>
      </c>
      <c r="B21" s="117"/>
      <c r="C21" s="56">
        <f>SUM('Stavební rozpočet'!Z12:Z93)</f>
        <v>0</v>
      </c>
      <c r="D21" s="114"/>
      <c r="E21" s="115"/>
      <c r="F21" s="57"/>
      <c r="G21" s="114"/>
      <c r="H21" s="115"/>
      <c r="I21" s="57"/>
      <c r="J21" s="35"/>
    </row>
    <row r="22" spans="1:10" ht="16.5" customHeight="1">
      <c r="A22" s="116" t="s">
        <v>290</v>
      </c>
      <c r="B22" s="117"/>
      <c r="C22" s="56">
        <f>SUM(C14:C21)</f>
        <v>0</v>
      </c>
      <c r="D22" s="116" t="s">
        <v>303</v>
      </c>
      <c r="E22" s="117"/>
      <c r="F22" s="56">
        <f>SUM(F14:F21)</f>
        <v>0</v>
      </c>
      <c r="G22" s="116" t="s">
        <v>316</v>
      </c>
      <c r="H22" s="117"/>
      <c r="I22" s="56">
        <f>SUM(I14:I21)</f>
        <v>0</v>
      </c>
      <c r="J22" s="35"/>
    </row>
    <row r="23" spans="1:10" ht="15" customHeight="1">
      <c r="A23" s="8"/>
      <c r="B23" s="8"/>
      <c r="C23" s="54"/>
      <c r="D23" s="116" t="s">
        <v>304</v>
      </c>
      <c r="E23" s="117"/>
      <c r="F23" s="58">
        <v>0</v>
      </c>
      <c r="G23" s="116" t="s">
        <v>317</v>
      </c>
      <c r="H23" s="117"/>
      <c r="I23" s="56">
        <v>0</v>
      </c>
      <c r="J23" s="35"/>
    </row>
    <row r="24" spans="4:9" ht="15" customHeight="1">
      <c r="D24" s="8"/>
      <c r="E24" s="8"/>
      <c r="F24" s="59"/>
      <c r="G24" s="116" t="s">
        <v>318</v>
      </c>
      <c r="H24" s="117"/>
      <c r="I24" s="61"/>
    </row>
    <row r="25" spans="6:10" ht="15" customHeight="1">
      <c r="F25" s="60"/>
      <c r="G25" s="116" t="s">
        <v>319</v>
      </c>
      <c r="H25" s="117"/>
      <c r="I25" s="56">
        <v>0</v>
      </c>
      <c r="J25" s="35"/>
    </row>
    <row r="26" spans="1:9" ht="12.75">
      <c r="A26" s="46"/>
      <c r="B26" s="46"/>
      <c r="C26" s="46"/>
      <c r="G26" s="8"/>
      <c r="H26" s="8"/>
      <c r="I26" s="8"/>
    </row>
    <row r="27" spans="1:9" ht="15" customHeight="1">
      <c r="A27" s="118" t="s">
        <v>291</v>
      </c>
      <c r="B27" s="119"/>
      <c r="C27" s="62">
        <f>SUM('Stavební rozpočet'!AJ12:AJ93)</f>
        <v>0</v>
      </c>
      <c r="D27" s="55"/>
      <c r="E27" s="46"/>
      <c r="F27" s="46"/>
      <c r="G27" s="46"/>
      <c r="H27" s="46"/>
      <c r="I27" s="46"/>
    </row>
    <row r="28" spans="1:10" ht="15" customHeight="1">
      <c r="A28" s="118" t="s">
        <v>292</v>
      </c>
      <c r="B28" s="119"/>
      <c r="C28" s="62">
        <f>SUM('Stavební rozpočet'!AK12:AK93)</f>
        <v>0</v>
      </c>
      <c r="D28" s="118" t="s">
        <v>305</v>
      </c>
      <c r="E28" s="119"/>
      <c r="F28" s="62">
        <f>ROUND(C28*(15/100),2)</f>
        <v>0</v>
      </c>
      <c r="G28" s="118" t="s">
        <v>320</v>
      </c>
      <c r="H28" s="119"/>
      <c r="I28" s="62">
        <f>SUM(C27:C29)</f>
        <v>0</v>
      </c>
      <c r="J28" s="35"/>
    </row>
    <row r="29" spans="1:10" ht="15" customHeight="1">
      <c r="A29" s="118" t="s">
        <v>293</v>
      </c>
      <c r="B29" s="119"/>
      <c r="C29" s="62">
        <f>SUM('Stavební rozpočet'!AL12:AL93)+(F22+I22+F23+I23+I24+I25)</f>
        <v>0</v>
      </c>
      <c r="D29" s="118" t="s">
        <v>306</v>
      </c>
      <c r="E29" s="119"/>
      <c r="F29" s="62">
        <f>ROUND(C29*(21/100),2)</f>
        <v>0</v>
      </c>
      <c r="G29" s="118" t="s">
        <v>321</v>
      </c>
      <c r="H29" s="119"/>
      <c r="I29" s="62">
        <f>SUM(F28:F29)+I28</f>
        <v>0</v>
      </c>
      <c r="J29" s="35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20" t="s">
        <v>294</v>
      </c>
      <c r="B31" s="121"/>
      <c r="C31" s="122"/>
      <c r="D31" s="120" t="s">
        <v>307</v>
      </c>
      <c r="E31" s="121"/>
      <c r="F31" s="122"/>
      <c r="G31" s="120" t="s">
        <v>322</v>
      </c>
      <c r="H31" s="121"/>
      <c r="I31" s="122"/>
      <c r="J31" s="36"/>
    </row>
    <row r="32" spans="1:10" ht="14.25" customHeight="1">
      <c r="A32" s="123"/>
      <c r="B32" s="124"/>
      <c r="C32" s="125"/>
      <c r="D32" s="123"/>
      <c r="E32" s="124"/>
      <c r="F32" s="125"/>
      <c r="G32" s="123"/>
      <c r="H32" s="124"/>
      <c r="I32" s="125"/>
      <c r="J32" s="36"/>
    </row>
    <row r="33" spans="1:10" ht="14.25" customHeight="1">
      <c r="A33" s="123"/>
      <c r="B33" s="124"/>
      <c r="C33" s="125"/>
      <c r="D33" s="123"/>
      <c r="E33" s="124"/>
      <c r="F33" s="125"/>
      <c r="G33" s="123"/>
      <c r="H33" s="124"/>
      <c r="I33" s="125"/>
      <c r="J33" s="36"/>
    </row>
    <row r="34" spans="1:10" ht="14.25" customHeight="1">
      <c r="A34" s="123"/>
      <c r="B34" s="124"/>
      <c r="C34" s="125"/>
      <c r="D34" s="123"/>
      <c r="E34" s="124"/>
      <c r="F34" s="125"/>
      <c r="G34" s="123"/>
      <c r="H34" s="124"/>
      <c r="I34" s="125"/>
      <c r="J34" s="36"/>
    </row>
    <row r="35" spans="1:10" ht="14.25" customHeight="1">
      <c r="A35" s="126" t="s">
        <v>295</v>
      </c>
      <c r="B35" s="127"/>
      <c r="C35" s="128"/>
      <c r="D35" s="126" t="s">
        <v>295</v>
      </c>
      <c r="E35" s="127"/>
      <c r="F35" s="128"/>
      <c r="G35" s="126" t="s">
        <v>295</v>
      </c>
      <c r="H35" s="127"/>
      <c r="I35" s="128"/>
      <c r="J35" s="36"/>
    </row>
    <row r="36" spans="1:9" ht="11.25" customHeight="1">
      <c r="A36" s="51" t="s">
        <v>72</v>
      </c>
      <c r="B36" s="53"/>
      <c r="C36" s="53"/>
      <c r="D36" s="53"/>
      <c r="E36" s="53"/>
      <c r="F36" s="53"/>
      <c r="G36" s="53"/>
      <c r="H36" s="53"/>
      <c r="I36" s="53"/>
    </row>
    <row r="37" spans="1:9" ht="12.75">
      <c r="A37" s="77"/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2021-05-20T08:48:14Z</cp:lastPrinted>
  <dcterms:modified xsi:type="dcterms:W3CDTF">2021-05-20T08:49:49Z</dcterms:modified>
  <cp:category/>
  <cp:version/>
  <cp:contentType/>
  <cp:contentStatus/>
</cp:coreProperties>
</file>