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<sst xmlns="http://schemas.openxmlformats.org/spreadsheetml/2006/main" count="771" uniqueCount="310">
  <si>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</si>
  <si>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</si>
  <si>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</si>
  <si>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</si>
  <si>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</si>
  <si>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</si>
  <si>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</si>
  <si>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</si>
  <si>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</si>
  <si>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</si>
  <si>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</si>
  <si>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</si>
  <si>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</si>
  <si>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</si>
  <si>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</si>
  <si>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</si>
  <si>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</si>
  <si>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</si>
  <si>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</si>
  <si>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</si>
  <si>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</si>
  <si>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</si>
  <si>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</si>
  <si>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</si>
  <si>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</si>
  <si>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</si>
  <si>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</si>
  <si>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</si>
  <si>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</si>
  <si>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</si>
  <si>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</si>
  <si>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</si>
  <si>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</si>
  <si>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</si>
  <si>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</si>
  <si>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</si>
  <si>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</si>
  <si>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</si>
  <si>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</si>
  <si>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</si>
  <si>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</si>
  <si>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</si>
  <si>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</si>
  <si>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</si>
  <si>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</si>
  <si>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</si>
  <si>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</si>
  <si>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</si>
  <si>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</si>
  <si>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</si>
  <si>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</si>
  <si>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</si>
  <si>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</si>
  <si>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</si>
  <si>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</si>
  <si>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</si>
  <si>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</si>
  <si>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</si>
  <si>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</si>
  <si>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</si>
  <si>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</si>
  <si>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</si>
  <si>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</si>
  <si>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</si>
  <si>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Poznámka:</t>
  </si>
  <si>
    <t>Kód</t>
  </si>
  <si>
    <t>0</t>
  </si>
  <si>
    <t>004VD</t>
  </si>
  <si>
    <t>005VD</t>
  </si>
  <si>
    <t>998767101R00</t>
  </si>
  <si>
    <t>319201315R00</t>
  </si>
  <si>
    <t>999281111R00</t>
  </si>
  <si>
    <t>340238212RT2</t>
  </si>
  <si>
    <t>612473101RA0</t>
  </si>
  <si>
    <t>568111111R00</t>
  </si>
  <si>
    <t>67352004</t>
  </si>
  <si>
    <t>712</t>
  </si>
  <si>
    <t>712300832R00</t>
  </si>
  <si>
    <t>712378101RT3</t>
  </si>
  <si>
    <t>712371801RZ4</t>
  </si>
  <si>
    <t>712378003R00</t>
  </si>
  <si>
    <t>712378005R00</t>
  </si>
  <si>
    <t>712378103RT4</t>
  </si>
  <si>
    <t>998712101R00</t>
  </si>
  <si>
    <t>713</t>
  </si>
  <si>
    <t>713141323R00</t>
  </si>
  <si>
    <t>28375704</t>
  </si>
  <si>
    <t>713111231R00</t>
  </si>
  <si>
    <t>67352295</t>
  </si>
  <si>
    <t>765526012R00</t>
  </si>
  <si>
    <t>998713101R00</t>
  </si>
  <si>
    <t>721</t>
  </si>
  <si>
    <t>721231212RT7</t>
  </si>
  <si>
    <t>762</t>
  </si>
  <si>
    <t>762441113R00</t>
  </si>
  <si>
    <t>60725017</t>
  </si>
  <si>
    <t>998762102R00</t>
  </si>
  <si>
    <t>31142008</t>
  </si>
  <si>
    <t>56284127</t>
  </si>
  <si>
    <t>764</t>
  </si>
  <si>
    <t>764430840R00</t>
  </si>
  <si>
    <t>764900040RA0</t>
  </si>
  <si>
    <t>764345831R00</t>
  </si>
  <si>
    <t>764347841R00</t>
  </si>
  <si>
    <t>764430850R00</t>
  </si>
  <si>
    <t>764533640R00</t>
  </si>
  <si>
    <t>764330010RA0</t>
  </si>
  <si>
    <t>764454010RAD</t>
  </si>
  <si>
    <t>764454293R00</t>
  </si>
  <si>
    <t>553523117</t>
  </si>
  <si>
    <t>553523116</t>
  </si>
  <si>
    <t>998764101R00</t>
  </si>
  <si>
    <t>767</t>
  </si>
  <si>
    <t>767900090RA0</t>
  </si>
  <si>
    <t>94</t>
  </si>
  <si>
    <t>941940031RAA</t>
  </si>
  <si>
    <t>97</t>
  </si>
  <si>
    <t>970031160R00</t>
  </si>
  <si>
    <t>M21</t>
  </si>
  <si>
    <t>210200020RAA</t>
  </si>
  <si>
    <t>S00</t>
  </si>
  <si>
    <t>979081111R00</t>
  </si>
  <si>
    <t>979081121R00</t>
  </si>
  <si>
    <t>979082111R00</t>
  </si>
  <si>
    <t>979082121R00</t>
  </si>
  <si>
    <t>979087112R00</t>
  </si>
  <si>
    <t>979093111R00</t>
  </si>
  <si>
    <t>979999999R00</t>
  </si>
  <si>
    <t>979951111R00</t>
  </si>
  <si>
    <t>Výměna střešní krytiny na zbývající části budovy SEPŠ Studénka</t>
  </si>
  <si>
    <t>Zkrácený popis</t>
  </si>
  <si>
    <t>Rozměry</t>
  </si>
  <si>
    <t>Všeobecné konstrukce a práce</t>
  </si>
  <si>
    <t>D+M Nový ocelový žebřík</t>
  </si>
  <si>
    <t>D+M Zábradlí výšky 1,1 (pozink) včetně kotvení</t>
  </si>
  <si>
    <t>Přesun hmot pro zámečnické konstr., výšky do 6 m</t>
  </si>
  <si>
    <t>Zdi podpěrné a volné</t>
  </si>
  <si>
    <t>Vyrovnání zdiva před pokládkou OSB na atiku suchou maltovou směsí s vodou (nanesení a vyrovnání) tl. 10 mm</t>
  </si>
  <si>
    <t>Přesun hmot pro opravy a údržbu do výšky 25 m</t>
  </si>
  <si>
    <t>Stěny a příčky</t>
  </si>
  <si>
    <t>Zazdívka otvorů pl.1 m2,cihlami tl.zdi nad 10 cm (po starých svodech)</t>
  </si>
  <si>
    <t>Omítka stěn (zakrytí otvorů a vysprávka po zábradlí)</t>
  </si>
  <si>
    <t>Podkladní vrstvy komunikací, letišť a ploch</t>
  </si>
  <si>
    <t>Zřízení vrstvy z geotextilie skl.do 1:5, š.do 3 m</t>
  </si>
  <si>
    <t>Geotextilie netkaná PK-Nontex PET 300 g/m2</t>
  </si>
  <si>
    <t>Izolace střech (živičné krytiny)</t>
  </si>
  <si>
    <t>Odstranění povlakové krytiny střech do 10° 2vrstvé</t>
  </si>
  <si>
    <t>Komínek odvětrání kanalizace s manžetou z PVC</t>
  </si>
  <si>
    <t>Povlaková krytina střech do 10°, fólií PVC</t>
  </si>
  <si>
    <t>Atiková okapnice VIPLANYL do RŠ 250 mm</t>
  </si>
  <si>
    <t>Stěnová lišta vyhnutá VIPLANYL RŠ 70 mm (stěna - folie)</t>
  </si>
  <si>
    <t>Atiková propust s mřížkou a manžetou z PVC s napojením do kolene svislého svodu</t>
  </si>
  <si>
    <t>Přesun hmot pro povlakové krytiny, výšky do 6 m</t>
  </si>
  <si>
    <t>Izolace tepelné</t>
  </si>
  <si>
    <t>Montáž izolace tepelná střech do tl.200 mm,2vrstvy, včetně kotev SK-RB Power</t>
  </si>
  <si>
    <t>Desky EPS 100 S Stabil ložené ve 2 vrstvách křížem</t>
  </si>
  <si>
    <t>Montáž parozábrany stropů shora s přelepením spojů</t>
  </si>
  <si>
    <t>Fólie JUTAFOL N 110 standard parozábrana</t>
  </si>
  <si>
    <t>Pojistná hydroizolace, samolepící</t>
  </si>
  <si>
    <t>Přesun hmot pro izolace tepelné, výšky do 6 m</t>
  </si>
  <si>
    <t>Vnitřní kanalizace</t>
  </si>
  <si>
    <t>Vtok střešní sanační v povl.kryt.,střecha zateplen</t>
  </si>
  <si>
    <t>Konstrukce tesařské</t>
  </si>
  <si>
    <t>Montáž obložení atiky,OSB desky,1vrst.,hmoždinkami</t>
  </si>
  <si>
    <t>Deska dřevoštěpková OSB 3 N tl. 25 mm</t>
  </si>
  <si>
    <t>Přesun hmot pro tesařské konstrukce, výšky do 12 m</t>
  </si>
  <si>
    <t>Vrut zápustný 021814   5   x  70 mm</t>
  </si>
  <si>
    <t>Hmoždinka 8 PA HM 8/1 8/1x40 mm</t>
  </si>
  <si>
    <t>Konstrukce klempířské</t>
  </si>
  <si>
    <t>Demontáž oplechování zdí,rš od 330 do 500 mm (vrch atiky)</t>
  </si>
  <si>
    <t>Demontáž odpadních trub (střešní svody)</t>
  </si>
  <si>
    <t>Demontáž ventilačních nástavců D do 150 mm, do 30°</t>
  </si>
  <si>
    <t>Demontáž ventilační stříšky, D do 200 mm, do 30°</t>
  </si>
  <si>
    <t>Demontáž plechové předstěny</t>
  </si>
  <si>
    <t>Oplech.zdí TiZn RHEINZINK,rš.500, plochá spojka (atika)</t>
  </si>
  <si>
    <t>Lemování zdí z Pz plechu (stěna - folie)</t>
  </si>
  <si>
    <t>Odpadní trouby z Pz plechu kruhové</t>
  </si>
  <si>
    <t>Montáž kolena Pz kruhového</t>
  </si>
  <si>
    <t>Koleno svodu soklové pozink</t>
  </si>
  <si>
    <t>Koleno svodu</t>
  </si>
  <si>
    <t>Přesun hmot pro klempířské konstr., výšky do 6 m</t>
  </si>
  <si>
    <t>Konstrukce doplňkové stavební (zámečnické)</t>
  </si>
  <si>
    <t>Demontáž atypických ocelových konstrukcí (žebřík, hromosvod,zábradlí včetně drátoskla)</t>
  </si>
  <si>
    <t>Lešení a stavební výtahy</t>
  </si>
  <si>
    <t>Lešení lehké fasádní, š. 1 m, výška do 10 m</t>
  </si>
  <si>
    <t>Prorážení otvorů a ostatní bourací práce</t>
  </si>
  <si>
    <t>Vrtání jádrové do zdiva cihelného do D 160 mm (nové otvory pro svody)</t>
  </si>
  <si>
    <t>Elektromontáže</t>
  </si>
  <si>
    <t>Hromosvod</t>
  </si>
  <si>
    <t>Běžné stavební práce</t>
  </si>
  <si>
    <t>Odvoz suti a vybour. hmot na skládku do 1 km</t>
  </si>
  <si>
    <t>Příplatek k odvozu za každý další 1 km</t>
  </si>
  <si>
    <t>Vnitrostaveništní doprava suti do 10 m</t>
  </si>
  <si>
    <t>Příplatek k vnitrost. dopravě suti za dalších 5 m</t>
  </si>
  <si>
    <t>Nakládání suti na dopravní prostředky</t>
  </si>
  <si>
    <t>Uložení suti na skládku bez zhutnění</t>
  </si>
  <si>
    <t>Poplatek za skládku</t>
  </si>
  <si>
    <t>Výkup kovů - železný šrot tl. do 4 mm</t>
  </si>
  <si>
    <t>Doba výstavby:</t>
  </si>
  <si>
    <t>Začátek výstavby:</t>
  </si>
  <si>
    <t>Konec výstavby:</t>
  </si>
  <si>
    <t>Zpracováno dne:</t>
  </si>
  <si>
    <t>MJ</t>
  </si>
  <si>
    <t>soubor</t>
  </si>
  <si>
    <t>m</t>
  </si>
  <si>
    <t>t</t>
  </si>
  <si>
    <t>m2</t>
  </si>
  <si>
    <t>kus</t>
  </si>
  <si>
    <t>m3</t>
  </si>
  <si>
    <t>1000 ks</t>
  </si>
  <si>
    <t>kg</t>
  </si>
  <si>
    <t>kompl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</si>
  <si>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</si>
  <si>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</si>
  <si>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</si>
  <si>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</si>
  <si>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</si>
  <si>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</si>
  <si>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</si>
  <si>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</si>
  <si>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</si>
  <si>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</si>
  <si>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</si>
  <si>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</si>
  <si>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</si>
  <si>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</si>
  <si>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</si>
  <si>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</si>
  <si>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</si>
  <si>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</si>
  <si>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</si>
  <si>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</si>
  <si>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</si>
  <si>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</si>
  <si>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</si>
  <si>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</si>
  <si>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</si>
  <si>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</si>
  <si>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31_</t>
  </si>
  <si>
    <t>34_</t>
  </si>
  <si>
    <t>56_</t>
  </si>
  <si>
    <t>712_</t>
  </si>
  <si>
    <t>713_</t>
  </si>
  <si>
    <t>721_</t>
  </si>
  <si>
    <t>762_</t>
  </si>
  <si>
    <t>764_</t>
  </si>
  <si>
    <t>767_</t>
  </si>
  <si>
    <t>94_</t>
  </si>
  <si>
    <t>97_</t>
  </si>
  <si>
    <t>M21_</t>
  </si>
  <si>
    <t>S00_</t>
  </si>
  <si>
    <t>3_</t>
  </si>
  <si>
    <t>5_</t>
  </si>
  <si>
    <t>71_</t>
  </si>
  <si>
    <t>72_</t>
  </si>
  <si>
    <t>76_</t>
  </si>
  <si>
    <t>9_</t>
  </si>
  <si>
    <t>_</t>
  </si>
  <si>
    <t>100002</t>
  </si>
  <si>
    <t>MAT</t>
  </si>
  <si>
    <t>WORK</t>
  </si>
  <si>
    <t>CELK</t>
  </si>
  <si>
    <t>ISWORK</t>
  </si>
  <si>
    <t>P</t>
  </si>
  <si>
    <t>M</t>
  </si>
  <si>
    <t>GROUPCODE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</si>
  <si>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</si>
  <si>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</si>
  <si>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</si>
  <si>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</si>
  <si>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</si>
  <si>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</si>
  <si>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</si>
  <si>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</si>
  <si>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</si>
  <si>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</si>
  <si>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</si>
  <si>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</si>
  <si>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</si>
  <si>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</si>
  <si>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</si>
  <si>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</si>
  <si>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</si>
  <si>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Finanční rezerva</t>
  </si>
  <si>
    <t>Kompletační činnost</t>
  </si>
  <si>
    <t>Zabezpeč. staveniště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</si>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</sst>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6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31" xfId="0" applyNumberFormat="1" applyFont="1" applyFill="1" applyBorder="1" applyAlignment="1" applyProtection="1">
      <alignment horizontal="center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12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31" xfId="0" applyNumberFormat="1" applyFont="1" applyFill="1" applyBorder="1" applyAlignment="1" applyProtection="1">
      <alignment horizontal="right" vertical="center"/>
      <protection/>
    </xf>
    <xf numFmtId="49" fontId="12" fillId="0" borderId="31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0" fontId="3" fillId="0" borderId="42" xfId="0" applyNumberFormat="1" applyFont="1" applyFill="1" applyBorder="1" applyAlignment="1" applyProtection="1">
      <alignment horizontal="left" vertical="center"/>
      <protection/>
    </xf>
    <xf numFmtId="0" fontId="3" fillId="0" borderId="43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1" fillId="34" borderId="36" xfId="0" applyNumberFormat="1" applyFont="1" applyFill="1" applyBorder="1" applyAlignment="1" applyProtection="1">
      <alignment horizontal="left" vertical="center"/>
      <protection/>
    </xf>
    <xf numFmtId="0" fontId="11" fillId="34" borderId="48" xfId="0" applyNumberFormat="1" applyFont="1" applyFill="1" applyBorder="1" applyAlignment="1" applyProtection="1">
      <alignment horizontal="left" vertical="center"/>
      <protection/>
    </xf>
    <xf numFmtId="49" fontId="12" fillId="0" borderId="49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50" xfId="0" applyNumberFormat="1" applyFont="1" applyFill="1" applyBorder="1" applyAlignment="1" applyProtection="1">
      <alignment horizontal="left" vertical="center"/>
      <protection/>
    </xf>
    <xf numFmtId="49" fontId="11" fillId="0" borderId="36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36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8" xfId="0" applyNumberFormat="1" applyFont="1" applyFill="1" applyBorder="1" applyAlignment="1" applyProtection="1">
      <alignment horizontal="center" vertical="center"/>
      <protection/>
    </xf>
    <xf numFmtId="49" fontId="13" fillId="0" borderId="36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0000"/>
      <rgbColor rgb="00000000"/>
      <rgbColor rgb="00C0C0C0"/>
      <rgbColor rgb="00C0C0C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5"/>
  <sheetViews>
    <sheetView tabSelected="1" zoomScalePageLayoutView="0" workbookViewId="0" topLeftCell="A1">
      <selection activeCell="I8" sqref="I8:L9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60.28125" style="0" customWidth="1"/>
    <col min="4" max="5" width="11.57421875" style="0" customWidth="1"/>
    <col min="6" max="6" width="7.42187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13" max="24" width="11.57421875" style="0" customWidth="1"/>
    <col min="25" max="64" width="12.140625" style="0" hidden="1" customWidth="1"/>
  </cols>
  <sheetData>
    <row r="1" spans="1:12" ht="72.75" customHeight="1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3" ht="12.75">
      <c r="A2" s="96" t="s">
        <v>1</v>
      </c>
      <c r="B2" s="97"/>
      <c r="C2" s="98" t="s">
        <v>129</v>
      </c>
      <c r="D2" s="100" t="s">
        <v>198</v>
      </c>
      <c r="E2" s="97"/>
      <c r="F2" s="100" t="s">
        <v>6</v>
      </c>
      <c r="G2" s="97"/>
      <c r="H2" s="101" t="s">
        <v>213</v>
      </c>
      <c r="I2" s="100" t="s">
        <v>219</v>
      </c>
      <c r="J2" s="97"/>
      <c r="K2" s="97"/>
      <c r="L2" s="102"/>
      <c r="M2" s="35"/>
    </row>
    <row r="3" spans="1:13" ht="12.75">
      <c r="A3" s="93"/>
      <c r="B3" s="71"/>
      <c r="C3" s="99"/>
      <c r="D3" s="71"/>
      <c r="E3" s="71"/>
      <c r="F3" s="71"/>
      <c r="G3" s="71"/>
      <c r="H3" s="71"/>
      <c r="I3" s="71"/>
      <c r="J3" s="71"/>
      <c r="K3" s="71"/>
      <c r="L3" s="91"/>
      <c r="M3" s="35"/>
    </row>
    <row r="4" spans="1:13" ht="12.75">
      <c r="A4" s="87" t="s">
        <v>2</v>
      </c>
      <c r="B4" s="71"/>
      <c r="C4" s="70" t="s">
        <v>6</v>
      </c>
      <c r="D4" s="90" t="s">
        <v>199</v>
      </c>
      <c r="E4" s="71"/>
      <c r="F4" s="90"/>
      <c r="G4" s="71"/>
      <c r="H4" s="70" t="s">
        <v>214</v>
      </c>
      <c r="I4" s="90" t="s">
        <v>219</v>
      </c>
      <c r="J4" s="71"/>
      <c r="K4" s="71"/>
      <c r="L4" s="91"/>
      <c r="M4" s="35"/>
    </row>
    <row r="5" spans="1:13" ht="12.75">
      <c r="A5" s="93"/>
      <c r="B5" s="71"/>
      <c r="C5" s="71"/>
      <c r="D5" s="71"/>
      <c r="E5" s="71"/>
      <c r="F5" s="71"/>
      <c r="G5" s="71"/>
      <c r="H5" s="71"/>
      <c r="I5" s="71"/>
      <c r="J5" s="71"/>
      <c r="K5" s="71"/>
      <c r="L5" s="91"/>
      <c r="M5" s="35"/>
    </row>
    <row r="6" spans="1:13" ht="12.75">
      <c r="A6" s="87" t="s">
        <v>3</v>
      </c>
      <c r="B6" s="71"/>
      <c r="C6" s="70" t="s">
        <v>6</v>
      </c>
      <c r="D6" s="90" t="s">
        <v>200</v>
      </c>
      <c r="E6" s="71"/>
      <c r="F6" s="90" t="s">
        <v>6</v>
      </c>
      <c r="G6" s="71"/>
      <c r="H6" s="70" t="s">
        <v>215</v>
      </c>
      <c r="I6" s="90" t="s">
        <v>219</v>
      </c>
      <c r="J6" s="71"/>
      <c r="K6" s="71"/>
      <c r="L6" s="91"/>
      <c r="M6" s="35"/>
    </row>
    <row r="7" spans="1:13" ht="12.75">
      <c r="A7" s="93"/>
      <c r="B7" s="71"/>
      <c r="C7" s="71"/>
      <c r="D7" s="71"/>
      <c r="E7" s="71"/>
      <c r="F7" s="71"/>
      <c r="G7" s="71"/>
      <c r="H7" s="71"/>
      <c r="I7" s="71"/>
      <c r="J7" s="71"/>
      <c r="K7" s="71"/>
      <c r="L7" s="91"/>
      <c r="M7" s="35"/>
    </row>
    <row r="8" spans="1:13" ht="12.75">
      <c r="A8" s="87" t="s">
        <v>4</v>
      </c>
      <c r="B8" s="71"/>
      <c r="C8" s="70" t="s">
        <v>6</v>
      </c>
      <c r="D8" s="90" t="s">
        <v>201</v>
      </c>
      <c r="E8" s="71"/>
      <c r="F8" s="90"/>
      <c r="G8" s="71"/>
      <c r="H8" s="70" t="s">
        <v>216</v>
      </c>
      <c r="I8" s="90" t="s">
        <v>219</v>
      </c>
      <c r="J8" s="71"/>
      <c r="K8" s="71"/>
      <c r="L8" s="91"/>
      <c r="M8" s="35"/>
    </row>
    <row r="9" spans="1:13" ht="12.75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92"/>
      <c r="M9" s="35"/>
    </row>
    <row r="10" spans="1:64" ht="12.75">
      <c r="A10" s="1" t="s">
        <v>5</v>
      </c>
      <c r="B10" s="10" t="s">
        <v>65</v>
      </c>
      <c r="C10" s="76" t="s">
        <v>130</v>
      </c>
      <c r="D10" s="77"/>
      <c r="E10" s="78"/>
      <c r="F10" s="10" t="s">
        <v>202</v>
      </c>
      <c r="G10" s="19" t="s">
        <v>212</v>
      </c>
      <c r="H10" s="23" t="s">
        <v>217</v>
      </c>
      <c r="I10" s="79" t="s">
        <v>220</v>
      </c>
      <c r="J10" s="80"/>
      <c r="K10" s="81"/>
      <c r="L10" s="28" t="s">
        <v>225</v>
      </c>
      <c r="M10" s="36"/>
      <c r="BK10" s="37" t="s">
        <v>262</v>
      </c>
      <c r="BL10" s="42" t="s">
        <v>265</v>
      </c>
    </row>
    <row r="11" spans="1:62" ht="12.75">
      <c r="A11" s="2" t="s">
        <v>6</v>
      </c>
      <c r="B11" s="11" t="s">
        <v>6</v>
      </c>
      <c r="C11" s="82" t="s">
        <v>131</v>
      </c>
      <c r="D11" s="83"/>
      <c r="E11" s="84"/>
      <c r="F11" s="11" t="s">
        <v>6</v>
      </c>
      <c r="G11" s="11" t="s">
        <v>6</v>
      </c>
      <c r="H11" s="24" t="s">
        <v>218</v>
      </c>
      <c r="I11" s="25" t="s">
        <v>221</v>
      </c>
      <c r="J11" s="26" t="s">
        <v>223</v>
      </c>
      <c r="K11" s="27" t="s">
        <v>224</v>
      </c>
      <c r="L11" s="29" t="s">
        <v>226</v>
      </c>
      <c r="M11" s="36"/>
      <c r="Z11" s="37" t="s">
        <v>228</v>
      </c>
      <c r="AA11" s="37" t="s">
        <v>229</v>
      </c>
      <c r="AB11" s="37" t="s">
        <v>230</v>
      </c>
      <c r="AC11" s="37" t="s">
        <v>231</v>
      </c>
      <c r="AD11" s="37" t="s">
        <v>232</v>
      </c>
      <c r="AE11" s="37" t="s">
        <v>233</v>
      </c>
      <c r="AF11" s="37" t="s">
        <v>234</v>
      </c>
      <c r="AG11" s="37" t="s">
        <v>235</v>
      </c>
      <c r="AH11" s="37" t="s">
        <v>236</v>
      </c>
      <c r="BH11" s="37" t="s">
        <v>259</v>
      </c>
      <c r="BI11" s="37" t="s">
        <v>260</v>
      </c>
      <c r="BJ11" s="37" t="s">
        <v>261</v>
      </c>
    </row>
    <row r="12" spans="1:47" ht="12.75">
      <c r="A12" s="3"/>
      <c r="B12" s="12" t="s">
        <v>66</v>
      </c>
      <c r="C12" s="85" t="s">
        <v>132</v>
      </c>
      <c r="D12" s="86"/>
      <c r="E12" s="86"/>
      <c r="F12" s="17" t="s">
        <v>6</v>
      </c>
      <c r="G12" s="17" t="s">
        <v>6</v>
      </c>
      <c r="H12" s="17" t="s">
        <v>6</v>
      </c>
      <c r="I12" s="43">
        <f>SUM(I13:I15)</f>
        <v>0</v>
      </c>
      <c r="J12" s="43">
        <f>SUM(J13:J15)</f>
        <v>0</v>
      </c>
      <c r="K12" s="43">
        <f>SUM(K13:K15)</f>
        <v>0</v>
      </c>
      <c r="L12" s="30"/>
      <c r="M12" s="35"/>
      <c r="AI12" s="37"/>
      <c r="AS12" s="44">
        <f>SUM(AJ13:AJ15)</f>
        <v>0</v>
      </c>
      <c r="AT12" s="44">
        <f>SUM(AK13:AK15)</f>
        <v>0</v>
      </c>
      <c r="AU12" s="44">
        <f>SUM(AL13:AL15)</f>
        <v>0</v>
      </c>
    </row>
    <row r="13" spans="1:64" ht="12.75">
      <c r="A13" s="4" t="s">
        <v>7</v>
      </c>
      <c r="B13" s="13" t="s">
        <v>67</v>
      </c>
      <c r="C13" s="64" t="s">
        <v>133</v>
      </c>
      <c r="D13" s="65"/>
      <c r="E13" s="65"/>
      <c r="F13" s="13" t="s">
        <v>203</v>
      </c>
      <c r="G13" s="20">
        <v>1</v>
      </c>
      <c r="H13" s="20">
        <v>0</v>
      </c>
      <c r="I13" s="20">
        <f>G13*AO13</f>
        <v>0</v>
      </c>
      <c r="J13" s="20">
        <f>G13*AP13</f>
        <v>0</v>
      </c>
      <c r="K13" s="20">
        <f>G13*H13</f>
        <v>0</v>
      </c>
      <c r="L13" s="31"/>
      <c r="M13" s="35"/>
      <c r="Z13" s="38">
        <f>IF(AQ13="5",BJ13,0)</f>
        <v>0</v>
      </c>
      <c r="AB13" s="38">
        <f>IF(AQ13="1",BH13,0)</f>
        <v>0</v>
      </c>
      <c r="AC13" s="38">
        <f>IF(AQ13="1",BI13,0)</f>
        <v>0</v>
      </c>
      <c r="AD13" s="38">
        <f>IF(AQ13="7",BH13,0)</f>
        <v>0</v>
      </c>
      <c r="AE13" s="38">
        <f>IF(AQ13="7",BI13,0)</f>
        <v>0</v>
      </c>
      <c r="AF13" s="38">
        <f>IF(AQ13="2",BH13,0)</f>
        <v>0</v>
      </c>
      <c r="AG13" s="38">
        <f>IF(AQ13="2",BI13,0)</f>
        <v>0</v>
      </c>
      <c r="AH13" s="38">
        <f>IF(AQ13="0",BJ13,0)</f>
        <v>0</v>
      </c>
      <c r="AI13" s="37"/>
      <c r="AJ13" s="20">
        <f>IF(AN13=0,K13,0)</f>
        <v>0</v>
      </c>
      <c r="AK13" s="20">
        <f>IF(AN13=15,K13,0)</f>
        <v>0</v>
      </c>
      <c r="AL13" s="20">
        <f>IF(AN13=21,K13,0)</f>
        <v>0</v>
      </c>
      <c r="AN13" s="38">
        <v>21</v>
      </c>
      <c r="AO13" s="38">
        <f>H13*0.5</f>
        <v>0</v>
      </c>
      <c r="AP13" s="38">
        <f>H13*(1-0.5)</f>
        <v>0</v>
      </c>
      <c r="AQ13" s="39" t="s">
        <v>7</v>
      </c>
      <c r="AV13" s="38">
        <f>AW13+AX13</f>
        <v>0</v>
      </c>
      <c r="AW13" s="38">
        <f>G13*AO13</f>
        <v>0</v>
      </c>
      <c r="AX13" s="38">
        <f>G13*AP13</f>
        <v>0</v>
      </c>
      <c r="AY13" s="41" t="s">
        <v>237</v>
      </c>
      <c r="AZ13" s="41" t="s">
        <v>237</v>
      </c>
      <c r="BA13" s="37" t="s">
        <v>257</v>
      </c>
      <c r="BC13" s="38">
        <f>AW13+AX13</f>
        <v>0</v>
      </c>
      <c r="BD13" s="38">
        <f>H13/(100-BE13)*100</f>
        <v>0</v>
      </c>
      <c r="BE13" s="38">
        <v>0</v>
      </c>
      <c r="BF13" s="38">
        <f>13</f>
        <v>13</v>
      </c>
      <c r="BH13" s="20">
        <f>G13*AO13</f>
        <v>0</v>
      </c>
      <c r="BI13" s="20">
        <f>G13*AP13</f>
        <v>0</v>
      </c>
      <c r="BJ13" s="20">
        <f>G13*H13</f>
        <v>0</v>
      </c>
      <c r="BK13" s="20" t="s">
        <v>263</v>
      </c>
      <c r="BL13" s="38">
        <v>0</v>
      </c>
    </row>
    <row r="14" spans="1:64" ht="12.75">
      <c r="A14" s="4" t="s">
        <v>8</v>
      </c>
      <c r="B14" s="13" t="s">
        <v>68</v>
      </c>
      <c r="C14" s="64" t="s">
        <v>134</v>
      </c>
      <c r="D14" s="65"/>
      <c r="E14" s="65"/>
      <c r="F14" s="13" t="s">
        <v>204</v>
      </c>
      <c r="G14" s="20">
        <v>29.55</v>
      </c>
      <c r="H14" s="20">
        <v>0</v>
      </c>
      <c r="I14" s="20">
        <f>G14*AO14</f>
        <v>0</v>
      </c>
      <c r="J14" s="20">
        <f>G14*AP14</f>
        <v>0</v>
      </c>
      <c r="K14" s="20">
        <f>G14*H14</f>
        <v>0</v>
      </c>
      <c r="L14" s="31"/>
      <c r="M14" s="35"/>
      <c r="Z14" s="38">
        <f>IF(AQ14="5",BJ14,0)</f>
        <v>0</v>
      </c>
      <c r="AB14" s="38">
        <f>IF(AQ14="1",BH14,0)</f>
        <v>0</v>
      </c>
      <c r="AC14" s="38">
        <f>IF(AQ14="1",BI14,0)</f>
        <v>0</v>
      </c>
      <c r="AD14" s="38">
        <f>IF(AQ14="7",BH14,0)</f>
        <v>0</v>
      </c>
      <c r="AE14" s="38">
        <f>IF(AQ14="7",BI14,0)</f>
        <v>0</v>
      </c>
      <c r="AF14" s="38">
        <f>IF(AQ14="2",BH14,0)</f>
        <v>0</v>
      </c>
      <c r="AG14" s="38">
        <f>IF(AQ14="2",BI14,0)</f>
        <v>0</v>
      </c>
      <c r="AH14" s="38">
        <f>IF(AQ14="0",BJ14,0)</f>
        <v>0</v>
      </c>
      <c r="AI14" s="37"/>
      <c r="AJ14" s="20">
        <f>IF(AN14=0,K14,0)</f>
        <v>0</v>
      </c>
      <c r="AK14" s="20">
        <f>IF(AN14=15,K14,0)</f>
        <v>0</v>
      </c>
      <c r="AL14" s="20">
        <f>IF(AN14=21,K14,0)</f>
        <v>0</v>
      </c>
      <c r="AN14" s="38">
        <v>21</v>
      </c>
      <c r="AO14" s="38">
        <f>H14*0.5</f>
        <v>0</v>
      </c>
      <c r="AP14" s="38">
        <f>H14*(1-0.5)</f>
        <v>0</v>
      </c>
      <c r="AQ14" s="39" t="s">
        <v>7</v>
      </c>
      <c r="AV14" s="38">
        <f>AW14+AX14</f>
        <v>0</v>
      </c>
      <c r="AW14" s="38">
        <f>G14*AO14</f>
        <v>0</v>
      </c>
      <c r="AX14" s="38">
        <f>G14*AP14</f>
        <v>0</v>
      </c>
      <c r="AY14" s="41" t="s">
        <v>237</v>
      </c>
      <c r="AZ14" s="41" t="s">
        <v>237</v>
      </c>
      <c r="BA14" s="37" t="s">
        <v>257</v>
      </c>
      <c r="BC14" s="38">
        <f>AW14+AX14</f>
        <v>0</v>
      </c>
      <c r="BD14" s="38">
        <f>H14/(100-BE14)*100</f>
        <v>0</v>
      </c>
      <c r="BE14" s="38">
        <v>0</v>
      </c>
      <c r="BF14" s="38">
        <f>14</f>
        <v>14</v>
      </c>
      <c r="BH14" s="20">
        <f>G14*AO14</f>
        <v>0</v>
      </c>
      <c r="BI14" s="20">
        <f>G14*AP14</f>
        <v>0</v>
      </c>
      <c r="BJ14" s="20">
        <f>G14*H14</f>
        <v>0</v>
      </c>
      <c r="BK14" s="20" t="s">
        <v>263</v>
      </c>
      <c r="BL14" s="38">
        <v>0</v>
      </c>
    </row>
    <row r="15" spans="1:64" ht="12.75">
      <c r="A15" s="4" t="s">
        <v>9</v>
      </c>
      <c r="B15" s="13" t="s">
        <v>69</v>
      </c>
      <c r="C15" s="64" t="s">
        <v>135</v>
      </c>
      <c r="D15" s="65"/>
      <c r="E15" s="65"/>
      <c r="F15" s="13" t="s">
        <v>205</v>
      </c>
      <c r="G15" s="20">
        <v>3</v>
      </c>
      <c r="H15" s="20">
        <v>0</v>
      </c>
      <c r="I15" s="20">
        <f>G15*AO15</f>
        <v>0</v>
      </c>
      <c r="J15" s="20">
        <f>G15*AP15</f>
        <v>0</v>
      </c>
      <c r="K15" s="20">
        <f>G15*H15</f>
        <v>0</v>
      </c>
      <c r="L15" s="31" t="s">
        <v>227</v>
      </c>
      <c r="M15" s="35"/>
      <c r="Z15" s="38">
        <f>IF(AQ15="5",BJ15,0)</f>
        <v>0</v>
      </c>
      <c r="AB15" s="38">
        <f>IF(AQ15="1",BH15,0)</f>
        <v>0</v>
      </c>
      <c r="AC15" s="38">
        <f>IF(AQ15="1",BI15,0)</f>
        <v>0</v>
      </c>
      <c r="AD15" s="38">
        <f>IF(AQ15="7",BH15,0)</f>
        <v>0</v>
      </c>
      <c r="AE15" s="38">
        <f>IF(AQ15="7",BI15,0)</f>
        <v>0</v>
      </c>
      <c r="AF15" s="38">
        <f>IF(AQ15="2",BH15,0)</f>
        <v>0</v>
      </c>
      <c r="AG15" s="38">
        <f>IF(AQ15="2",BI15,0)</f>
        <v>0</v>
      </c>
      <c r="AH15" s="38">
        <f>IF(AQ15="0",BJ15,0)</f>
        <v>0</v>
      </c>
      <c r="AI15" s="37"/>
      <c r="AJ15" s="20">
        <f>IF(AN15=0,K15,0)</f>
        <v>0</v>
      </c>
      <c r="AK15" s="20">
        <f>IF(AN15=15,K15,0)</f>
        <v>0</v>
      </c>
      <c r="AL15" s="20">
        <f>IF(AN15=21,K15,0)</f>
        <v>0</v>
      </c>
      <c r="AN15" s="38">
        <v>21</v>
      </c>
      <c r="AO15" s="38">
        <f>H15*0</f>
        <v>0</v>
      </c>
      <c r="AP15" s="38">
        <f>H15*(1-0)</f>
        <v>0</v>
      </c>
      <c r="AQ15" s="39" t="s">
        <v>11</v>
      </c>
      <c r="AV15" s="38">
        <f>AW15+AX15</f>
        <v>0</v>
      </c>
      <c r="AW15" s="38">
        <f>G15*AO15</f>
        <v>0</v>
      </c>
      <c r="AX15" s="38">
        <f>G15*AP15</f>
        <v>0</v>
      </c>
      <c r="AY15" s="41" t="s">
        <v>237</v>
      </c>
      <c r="AZ15" s="41" t="s">
        <v>237</v>
      </c>
      <c r="BA15" s="37" t="s">
        <v>257</v>
      </c>
      <c r="BC15" s="38">
        <f>AW15+AX15</f>
        <v>0</v>
      </c>
      <c r="BD15" s="38">
        <f>H15/(100-BE15)*100</f>
        <v>0</v>
      </c>
      <c r="BE15" s="38">
        <v>0</v>
      </c>
      <c r="BF15" s="38">
        <f>15</f>
        <v>15</v>
      </c>
      <c r="BH15" s="20">
        <f>G15*AO15</f>
        <v>0</v>
      </c>
      <c r="BI15" s="20">
        <f>G15*AP15</f>
        <v>0</v>
      </c>
      <c r="BJ15" s="20">
        <f>G15*H15</f>
        <v>0</v>
      </c>
      <c r="BK15" s="20" t="s">
        <v>263</v>
      </c>
      <c r="BL15" s="38">
        <v>0</v>
      </c>
    </row>
    <row r="16" spans="1:47" ht="12.75">
      <c r="A16" s="5"/>
      <c r="B16" s="14" t="s">
        <v>37</v>
      </c>
      <c r="C16" s="72" t="s">
        <v>136</v>
      </c>
      <c r="D16" s="73"/>
      <c r="E16" s="73"/>
      <c r="F16" s="18" t="s">
        <v>6</v>
      </c>
      <c r="G16" s="18" t="s">
        <v>6</v>
      </c>
      <c r="H16" s="18" t="s">
        <v>6</v>
      </c>
      <c r="I16" s="44">
        <f>SUM(I17:I18)</f>
        <v>0</v>
      </c>
      <c r="J16" s="44">
        <f>SUM(J17:J18)</f>
        <v>0</v>
      </c>
      <c r="K16" s="44">
        <f>SUM(K17:K18)</f>
        <v>0</v>
      </c>
      <c r="L16" s="32"/>
      <c r="M16" s="35"/>
      <c r="AI16" s="37"/>
      <c r="AS16" s="44">
        <f>SUM(AJ17:AJ18)</f>
        <v>0</v>
      </c>
      <c r="AT16" s="44">
        <f>SUM(AK17:AK18)</f>
        <v>0</v>
      </c>
      <c r="AU16" s="44">
        <f>SUM(AL17:AL18)</f>
        <v>0</v>
      </c>
    </row>
    <row r="17" spans="1:64" ht="26.25" customHeight="1">
      <c r="A17" s="4" t="s">
        <v>10</v>
      </c>
      <c r="B17" s="13" t="s">
        <v>70</v>
      </c>
      <c r="C17" s="64" t="s">
        <v>137</v>
      </c>
      <c r="D17" s="65"/>
      <c r="E17" s="65"/>
      <c r="F17" s="13" t="s">
        <v>206</v>
      </c>
      <c r="G17" s="20">
        <v>26</v>
      </c>
      <c r="H17" s="20">
        <v>0</v>
      </c>
      <c r="I17" s="20">
        <f>G17*AO17</f>
        <v>0</v>
      </c>
      <c r="J17" s="20">
        <f>G17*AP17</f>
        <v>0</v>
      </c>
      <c r="K17" s="20">
        <f>G17*H17</f>
        <v>0</v>
      </c>
      <c r="L17" s="31" t="s">
        <v>227</v>
      </c>
      <c r="M17" s="35"/>
      <c r="Z17" s="38">
        <f>IF(AQ17="5",BJ17,0)</f>
        <v>0</v>
      </c>
      <c r="AB17" s="38">
        <f>IF(AQ17="1",BH17,0)</f>
        <v>0</v>
      </c>
      <c r="AC17" s="38">
        <f>IF(AQ17="1",BI17,0)</f>
        <v>0</v>
      </c>
      <c r="AD17" s="38">
        <f>IF(AQ17="7",BH17,0)</f>
        <v>0</v>
      </c>
      <c r="AE17" s="38">
        <f>IF(AQ17="7",BI17,0)</f>
        <v>0</v>
      </c>
      <c r="AF17" s="38">
        <f>IF(AQ17="2",BH17,0)</f>
        <v>0</v>
      </c>
      <c r="AG17" s="38">
        <f>IF(AQ17="2",BI17,0)</f>
        <v>0</v>
      </c>
      <c r="AH17" s="38">
        <f>IF(AQ17="0",BJ17,0)</f>
        <v>0</v>
      </c>
      <c r="AI17" s="37"/>
      <c r="AJ17" s="20">
        <f>IF(AN17=0,K17,0)</f>
        <v>0</v>
      </c>
      <c r="AK17" s="20">
        <f>IF(AN17=15,K17,0)</f>
        <v>0</v>
      </c>
      <c r="AL17" s="20">
        <f>IF(AN17=21,K17,0)</f>
        <v>0</v>
      </c>
      <c r="AN17" s="38">
        <v>21</v>
      </c>
      <c r="AO17" s="38">
        <f>H17*0.197685389018177</f>
        <v>0</v>
      </c>
      <c r="AP17" s="38">
        <f>H17*(1-0.197685389018177)</f>
        <v>0</v>
      </c>
      <c r="AQ17" s="39" t="s">
        <v>7</v>
      </c>
      <c r="AV17" s="38">
        <f>AW17+AX17</f>
        <v>0</v>
      </c>
      <c r="AW17" s="38">
        <f>G17*AO17</f>
        <v>0</v>
      </c>
      <c r="AX17" s="38">
        <f>G17*AP17</f>
        <v>0</v>
      </c>
      <c r="AY17" s="41" t="s">
        <v>238</v>
      </c>
      <c r="AZ17" s="41" t="s">
        <v>251</v>
      </c>
      <c r="BA17" s="37" t="s">
        <v>257</v>
      </c>
      <c r="BC17" s="38">
        <f>AW17+AX17</f>
        <v>0</v>
      </c>
      <c r="BD17" s="38">
        <f>H17/(100-BE17)*100</f>
        <v>0</v>
      </c>
      <c r="BE17" s="38">
        <v>0</v>
      </c>
      <c r="BF17" s="38">
        <f>17</f>
        <v>17</v>
      </c>
      <c r="BH17" s="20">
        <f>G17*AO17</f>
        <v>0</v>
      </c>
      <c r="BI17" s="20">
        <f>G17*AP17</f>
        <v>0</v>
      </c>
      <c r="BJ17" s="20">
        <f>G17*H17</f>
        <v>0</v>
      </c>
      <c r="BK17" s="20" t="s">
        <v>263</v>
      </c>
      <c r="BL17" s="38">
        <v>31</v>
      </c>
    </row>
    <row r="18" spans="1:64" ht="12.75">
      <c r="A18" s="4" t="s">
        <v>11</v>
      </c>
      <c r="B18" s="13" t="s">
        <v>71</v>
      </c>
      <c r="C18" s="64" t="s">
        <v>138</v>
      </c>
      <c r="D18" s="65"/>
      <c r="E18" s="65"/>
      <c r="F18" s="13" t="s">
        <v>205</v>
      </c>
      <c r="G18" s="20">
        <v>0.2145</v>
      </c>
      <c r="H18" s="20">
        <v>0</v>
      </c>
      <c r="I18" s="20">
        <f>G18*AO18</f>
        <v>0</v>
      </c>
      <c r="J18" s="20">
        <f>G18*AP18</f>
        <v>0</v>
      </c>
      <c r="K18" s="20">
        <f>G18*H18</f>
        <v>0</v>
      </c>
      <c r="L18" s="31" t="s">
        <v>227</v>
      </c>
      <c r="M18" s="35"/>
      <c r="Z18" s="38">
        <f>IF(AQ18="5",BJ18,0)</f>
        <v>0</v>
      </c>
      <c r="AB18" s="38">
        <f>IF(AQ18="1",BH18,0)</f>
        <v>0</v>
      </c>
      <c r="AC18" s="38">
        <f>IF(AQ18="1",BI18,0)</f>
        <v>0</v>
      </c>
      <c r="AD18" s="38">
        <f>IF(AQ18="7",BH18,0)</f>
        <v>0</v>
      </c>
      <c r="AE18" s="38">
        <f>IF(AQ18="7",BI18,0)</f>
        <v>0</v>
      </c>
      <c r="AF18" s="38">
        <f>IF(AQ18="2",BH18,0)</f>
        <v>0</v>
      </c>
      <c r="AG18" s="38">
        <f>IF(AQ18="2",BI18,0)</f>
        <v>0</v>
      </c>
      <c r="AH18" s="38">
        <f>IF(AQ18="0",BJ18,0)</f>
        <v>0</v>
      </c>
      <c r="AI18" s="37"/>
      <c r="AJ18" s="20">
        <f>IF(AN18=0,K18,0)</f>
        <v>0</v>
      </c>
      <c r="AK18" s="20">
        <f>IF(AN18=15,K18,0)</f>
        <v>0</v>
      </c>
      <c r="AL18" s="20">
        <f>IF(AN18=21,K18,0)</f>
        <v>0</v>
      </c>
      <c r="AN18" s="38">
        <v>21</v>
      </c>
      <c r="AO18" s="38">
        <f>H18*0</f>
        <v>0</v>
      </c>
      <c r="AP18" s="38">
        <f>H18*(1-0)</f>
        <v>0</v>
      </c>
      <c r="AQ18" s="39" t="s">
        <v>11</v>
      </c>
      <c r="AV18" s="38">
        <f>AW18+AX18</f>
        <v>0</v>
      </c>
      <c r="AW18" s="38">
        <f>G18*AO18</f>
        <v>0</v>
      </c>
      <c r="AX18" s="38">
        <f>G18*AP18</f>
        <v>0</v>
      </c>
      <c r="AY18" s="41" t="s">
        <v>238</v>
      </c>
      <c r="AZ18" s="41" t="s">
        <v>251</v>
      </c>
      <c r="BA18" s="37" t="s">
        <v>257</v>
      </c>
      <c r="BC18" s="38">
        <f>AW18+AX18</f>
        <v>0</v>
      </c>
      <c r="BD18" s="38">
        <f>H18/(100-BE18)*100</f>
        <v>0</v>
      </c>
      <c r="BE18" s="38">
        <v>0</v>
      </c>
      <c r="BF18" s="38">
        <f>18</f>
        <v>18</v>
      </c>
      <c r="BH18" s="20">
        <f>G18*AO18</f>
        <v>0</v>
      </c>
      <c r="BI18" s="20">
        <f>G18*AP18</f>
        <v>0</v>
      </c>
      <c r="BJ18" s="20">
        <f>G18*H18</f>
        <v>0</v>
      </c>
      <c r="BK18" s="20" t="s">
        <v>263</v>
      </c>
      <c r="BL18" s="38">
        <v>31</v>
      </c>
    </row>
    <row r="19" spans="1:47" ht="12.75">
      <c r="A19" s="5"/>
      <c r="B19" s="14" t="s">
        <v>40</v>
      </c>
      <c r="C19" s="72" t="s">
        <v>139</v>
      </c>
      <c r="D19" s="73"/>
      <c r="E19" s="73"/>
      <c r="F19" s="18" t="s">
        <v>6</v>
      </c>
      <c r="G19" s="18" t="s">
        <v>6</v>
      </c>
      <c r="H19" s="18" t="s">
        <v>6</v>
      </c>
      <c r="I19" s="44">
        <f>SUM(I20:I22)</f>
        <v>0</v>
      </c>
      <c r="J19" s="44">
        <f>SUM(J20:J22)</f>
        <v>0</v>
      </c>
      <c r="K19" s="44">
        <f>SUM(K20:K22)</f>
        <v>0</v>
      </c>
      <c r="L19" s="32"/>
      <c r="M19" s="35"/>
      <c r="AI19" s="37"/>
      <c r="AS19" s="44">
        <f>SUM(AJ20:AJ22)</f>
        <v>0</v>
      </c>
      <c r="AT19" s="44">
        <f>SUM(AK20:AK22)</f>
        <v>0</v>
      </c>
      <c r="AU19" s="44">
        <f>SUM(AL20:AL22)</f>
        <v>0</v>
      </c>
    </row>
    <row r="20" spans="1:64" ht="12.75">
      <c r="A20" s="4" t="s">
        <v>12</v>
      </c>
      <c r="B20" s="13" t="s">
        <v>72</v>
      </c>
      <c r="C20" s="64" t="s">
        <v>140</v>
      </c>
      <c r="D20" s="65"/>
      <c r="E20" s="65"/>
      <c r="F20" s="13" t="s">
        <v>206</v>
      </c>
      <c r="G20" s="20">
        <v>1</v>
      </c>
      <c r="H20" s="20">
        <v>0</v>
      </c>
      <c r="I20" s="20">
        <f>G20*AO20</f>
        <v>0</v>
      </c>
      <c r="J20" s="20">
        <f>G20*AP20</f>
        <v>0</v>
      </c>
      <c r="K20" s="20">
        <f>G20*H20</f>
        <v>0</v>
      </c>
      <c r="L20" s="31" t="s">
        <v>227</v>
      </c>
      <c r="M20" s="35"/>
      <c r="Z20" s="38">
        <f>IF(AQ20="5",BJ20,0)</f>
        <v>0</v>
      </c>
      <c r="AB20" s="38">
        <f>IF(AQ20="1",BH20,0)</f>
        <v>0</v>
      </c>
      <c r="AC20" s="38">
        <f>IF(AQ20="1",BI20,0)</f>
        <v>0</v>
      </c>
      <c r="AD20" s="38">
        <f>IF(AQ20="7",BH20,0)</f>
        <v>0</v>
      </c>
      <c r="AE20" s="38">
        <f>IF(AQ20="7",BI20,0)</f>
        <v>0</v>
      </c>
      <c r="AF20" s="38">
        <f>IF(AQ20="2",BH20,0)</f>
        <v>0</v>
      </c>
      <c r="AG20" s="38">
        <f>IF(AQ20="2",BI20,0)</f>
        <v>0</v>
      </c>
      <c r="AH20" s="38">
        <f>IF(AQ20="0",BJ20,0)</f>
        <v>0</v>
      </c>
      <c r="AI20" s="37"/>
      <c r="AJ20" s="20">
        <f>IF(AN20=0,K20,0)</f>
        <v>0</v>
      </c>
      <c r="AK20" s="20">
        <f>IF(AN20=15,K20,0)</f>
        <v>0</v>
      </c>
      <c r="AL20" s="20">
        <f>IF(AN20=21,K20,0)</f>
        <v>0</v>
      </c>
      <c r="AN20" s="38">
        <v>21</v>
      </c>
      <c r="AO20" s="38">
        <f>H20*0.538409090909091</f>
        <v>0</v>
      </c>
      <c r="AP20" s="38">
        <f>H20*(1-0.538409090909091)</f>
        <v>0</v>
      </c>
      <c r="AQ20" s="39" t="s">
        <v>7</v>
      </c>
      <c r="AV20" s="38">
        <f>AW20+AX20</f>
        <v>0</v>
      </c>
      <c r="AW20" s="38">
        <f>G20*AO20</f>
        <v>0</v>
      </c>
      <c r="AX20" s="38">
        <f>G20*AP20</f>
        <v>0</v>
      </c>
      <c r="AY20" s="41" t="s">
        <v>239</v>
      </c>
      <c r="AZ20" s="41" t="s">
        <v>251</v>
      </c>
      <c r="BA20" s="37" t="s">
        <v>257</v>
      </c>
      <c r="BC20" s="38">
        <f>AW20+AX20</f>
        <v>0</v>
      </c>
      <c r="BD20" s="38">
        <f>H20/(100-BE20)*100</f>
        <v>0</v>
      </c>
      <c r="BE20" s="38">
        <v>0</v>
      </c>
      <c r="BF20" s="38">
        <f>20</f>
        <v>20</v>
      </c>
      <c r="BH20" s="20">
        <f>G20*AO20</f>
        <v>0</v>
      </c>
      <c r="BI20" s="20">
        <f>G20*AP20</f>
        <v>0</v>
      </c>
      <c r="BJ20" s="20">
        <f>G20*H20</f>
        <v>0</v>
      </c>
      <c r="BK20" s="20" t="s">
        <v>263</v>
      </c>
      <c r="BL20" s="38">
        <v>34</v>
      </c>
    </row>
    <row r="21" spans="1:64" ht="12.75">
      <c r="A21" s="4" t="s">
        <v>13</v>
      </c>
      <c r="B21" s="13" t="s">
        <v>73</v>
      </c>
      <c r="C21" s="64" t="s">
        <v>141</v>
      </c>
      <c r="D21" s="65"/>
      <c r="E21" s="65"/>
      <c r="F21" s="13" t="s">
        <v>206</v>
      </c>
      <c r="G21" s="20">
        <v>5</v>
      </c>
      <c r="H21" s="20">
        <v>0</v>
      </c>
      <c r="I21" s="20">
        <f>G21*AO21</f>
        <v>0</v>
      </c>
      <c r="J21" s="20">
        <f>G21*AP21</f>
        <v>0</v>
      </c>
      <c r="K21" s="20">
        <f>G21*H21</f>
        <v>0</v>
      </c>
      <c r="L21" s="31" t="s">
        <v>227</v>
      </c>
      <c r="M21" s="35"/>
      <c r="Z21" s="38">
        <f>IF(AQ21="5",BJ21,0)</f>
        <v>0</v>
      </c>
      <c r="AB21" s="38">
        <f>IF(AQ21="1",BH21,0)</f>
        <v>0</v>
      </c>
      <c r="AC21" s="38">
        <f>IF(AQ21="1",BI21,0)</f>
        <v>0</v>
      </c>
      <c r="AD21" s="38">
        <f>IF(AQ21="7",BH21,0)</f>
        <v>0</v>
      </c>
      <c r="AE21" s="38">
        <f>IF(AQ21="7",BI21,0)</f>
        <v>0</v>
      </c>
      <c r="AF21" s="38">
        <f>IF(AQ21="2",BH21,0)</f>
        <v>0</v>
      </c>
      <c r="AG21" s="38">
        <f>IF(AQ21="2",BI21,0)</f>
        <v>0</v>
      </c>
      <c r="AH21" s="38">
        <f>IF(AQ21="0",BJ21,0)</f>
        <v>0</v>
      </c>
      <c r="AI21" s="37"/>
      <c r="AJ21" s="20">
        <f>IF(AN21=0,K21,0)</f>
        <v>0</v>
      </c>
      <c r="AK21" s="20">
        <f>IF(AN21=15,K21,0)</f>
        <v>0</v>
      </c>
      <c r="AL21" s="20">
        <f>IF(AN21=21,K21,0)</f>
        <v>0</v>
      </c>
      <c r="AN21" s="38">
        <v>21</v>
      </c>
      <c r="AO21" s="38">
        <f>H21*0.252730109204368</f>
        <v>0</v>
      </c>
      <c r="AP21" s="38">
        <f>H21*(1-0.252730109204368)</f>
        <v>0</v>
      </c>
      <c r="AQ21" s="39" t="s">
        <v>7</v>
      </c>
      <c r="AV21" s="38">
        <f>AW21+AX21</f>
        <v>0</v>
      </c>
      <c r="AW21" s="38">
        <f>G21*AO21</f>
        <v>0</v>
      </c>
      <c r="AX21" s="38">
        <f>G21*AP21</f>
        <v>0</v>
      </c>
      <c r="AY21" s="41" t="s">
        <v>239</v>
      </c>
      <c r="AZ21" s="41" t="s">
        <v>251</v>
      </c>
      <c r="BA21" s="37" t="s">
        <v>257</v>
      </c>
      <c r="BC21" s="38">
        <f>AW21+AX21</f>
        <v>0</v>
      </c>
      <c r="BD21" s="38">
        <f>H21/(100-BE21)*100</f>
        <v>0</v>
      </c>
      <c r="BE21" s="38">
        <v>0</v>
      </c>
      <c r="BF21" s="38">
        <f>21</f>
        <v>21</v>
      </c>
      <c r="BH21" s="20">
        <f>G21*AO21</f>
        <v>0</v>
      </c>
      <c r="BI21" s="20">
        <f>G21*AP21</f>
        <v>0</v>
      </c>
      <c r="BJ21" s="20">
        <f>G21*H21</f>
        <v>0</v>
      </c>
      <c r="BK21" s="20" t="s">
        <v>263</v>
      </c>
      <c r="BL21" s="38">
        <v>34</v>
      </c>
    </row>
    <row r="22" spans="1:64" ht="12.75">
      <c r="A22" s="4" t="s">
        <v>14</v>
      </c>
      <c r="B22" s="13" t="s">
        <v>71</v>
      </c>
      <c r="C22" s="64" t="s">
        <v>138</v>
      </c>
      <c r="D22" s="65"/>
      <c r="E22" s="65"/>
      <c r="F22" s="13" t="s">
        <v>205</v>
      </c>
      <c r="G22" s="20">
        <v>0.38026</v>
      </c>
      <c r="H22" s="20">
        <v>0</v>
      </c>
      <c r="I22" s="20">
        <f>G22*AO22</f>
        <v>0</v>
      </c>
      <c r="J22" s="20">
        <f>G22*AP22</f>
        <v>0</v>
      </c>
      <c r="K22" s="20">
        <f>G22*H22</f>
        <v>0</v>
      </c>
      <c r="L22" s="31" t="s">
        <v>227</v>
      </c>
      <c r="M22" s="35"/>
      <c r="Z22" s="38">
        <f>IF(AQ22="5",BJ22,0)</f>
        <v>0</v>
      </c>
      <c r="AB22" s="38">
        <f>IF(AQ22="1",BH22,0)</f>
        <v>0</v>
      </c>
      <c r="AC22" s="38">
        <f>IF(AQ22="1",BI22,0)</f>
        <v>0</v>
      </c>
      <c r="AD22" s="38">
        <f>IF(AQ22="7",BH22,0)</f>
        <v>0</v>
      </c>
      <c r="AE22" s="38">
        <f>IF(AQ22="7",BI22,0)</f>
        <v>0</v>
      </c>
      <c r="AF22" s="38">
        <f>IF(AQ22="2",BH22,0)</f>
        <v>0</v>
      </c>
      <c r="AG22" s="38">
        <f>IF(AQ22="2",BI22,0)</f>
        <v>0</v>
      </c>
      <c r="AH22" s="38">
        <f>IF(AQ22="0",BJ22,0)</f>
        <v>0</v>
      </c>
      <c r="AI22" s="37"/>
      <c r="AJ22" s="20">
        <f>IF(AN22=0,K22,0)</f>
        <v>0</v>
      </c>
      <c r="AK22" s="20">
        <f>IF(AN22=15,K22,0)</f>
        <v>0</v>
      </c>
      <c r="AL22" s="20">
        <f>IF(AN22=21,K22,0)</f>
        <v>0</v>
      </c>
      <c r="AN22" s="38">
        <v>21</v>
      </c>
      <c r="AO22" s="38">
        <f>H22*0</f>
        <v>0</v>
      </c>
      <c r="AP22" s="38">
        <f>H22*(1-0)</f>
        <v>0</v>
      </c>
      <c r="AQ22" s="39" t="s">
        <v>11</v>
      </c>
      <c r="AV22" s="38">
        <f>AW22+AX22</f>
        <v>0</v>
      </c>
      <c r="AW22" s="38">
        <f>G22*AO22</f>
        <v>0</v>
      </c>
      <c r="AX22" s="38">
        <f>G22*AP22</f>
        <v>0</v>
      </c>
      <c r="AY22" s="41" t="s">
        <v>239</v>
      </c>
      <c r="AZ22" s="41" t="s">
        <v>251</v>
      </c>
      <c r="BA22" s="37" t="s">
        <v>257</v>
      </c>
      <c r="BC22" s="38">
        <f>AW22+AX22</f>
        <v>0</v>
      </c>
      <c r="BD22" s="38">
        <f>H22/(100-BE22)*100</f>
        <v>0</v>
      </c>
      <c r="BE22" s="38">
        <v>0</v>
      </c>
      <c r="BF22" s="38">
        <f>22</f>
        <v>22</v>
      </c>
      <c r="BH22" s="20">
        <f>G22*AO22</f>
        <v>0</v>
      </c>
      <c r="BI22" s="20">
        <f>G22*AP22</f>
        <v>0</v>
      </c>
      <c r="BJ22" s="20">
        <f>G22*H22</f>
        <v>0</v>
      </c>
      <c r="BK22" s="20" t="s">
        <v>263</v>
      </c>
      <c r="BL22" s="38">
        <v>34</v>
      </c>
    </row>
    <row r="23" spans="1:47" ht="12.75">
      <c r="A23" s="5"/>
      <c r="B23" s="14" t="s">
        <v>62</v>
      </c>
      <c r="C23" s="72" t="s">
        <v>142</v>
      </c>
      <c r="D23" s="73"/>
      <c r="E23" s="73"/>
      <c r="F23" s="18" t="s">
        <v>6</v>
      </c>
      <c r="G23" s="18" t="s">
        <v>6</v>
      </c>
      <c r="H23" s="18" t="s">
        <v>6</v>
      </c>
      <c r="I23" s="44">
        <f>SUM(I24:I26)</f>
        <v>0</v>
      </c>
      <c r="J23" s="44">
        <f>SUM(J24:J26)</f>
        <v>0</v>
      </c>
      <c r="K23" s="44">
        <f>SUM(K24:K26)</f>
        <v>0</v>
      </c>
      <c r="L23" s="32"/>
      <c r="M23" s="35"/>
      <c r="AI23" s="37"/>
      <c r="AS23" s="44">
        <f>SUM(AJ24:AJ26)</f>
        <v>0</v>
      </c>
      <c r="AT23" s="44">
        <f>SUM(AK24:AK26)</f>
        <v>0</v>
      </c>
      <c r="AU23" s="44">
        <f>SUM(AL24:AL26)</f>
        <v>0</v>
      </c>
    </row>
    <row r="24" spans="1:64" ht="12.75">
      <c r="A24" s="4" t="s">
        <v>15</v>
      </c>
      <c r="B24" s="13" t="s">
        <v>74</v>
      </c>
      <c r="C24" s="64" t="s">
        <v>143</v>
      </c>
      <c r="D24" s="65"/>
      <c r="E24" s="65"/>
      <c r="F24" s="13" t="s">
        <v>206</v>
      </c>
      <c r="G24" s="20">
        <v>148.4</v>
      </c>
      <c r="H24" s="20">
        <v>0</v>
      </c>
      <c r="I24" s="20">
        <f>G24*AO24</f>
        <v>0</v>
      </c>
      <c r="J24" s="20">
        <f>G24*AP24</f>
        <v>0</v>
      </c>
      <c r="K24" s="20">
        <f>G24*H24</f>
        <v>0</v>
      </c>
      <c r="L24" s="31" t="s">
        <v>227</v>
      </c>
      <c r="M24" s="35"/>
      <c r="Z24" s="38">
        <f>IF(AQ24="5",BJ24,0)</f>
        <v>0</v>
      </c>
      <c r="AB24" s="38">
        <f>IF(AQ24="1",BH24,0)</f>
        <v>0</v>
      </c>
      <c r="AC24" s="38">
        <f>IF(AQ24="1",BI24,0)</f>
        <v>0</v>
      </c>
      <c r="AD24" s="38">
        <f>IF(AQ24="7",BH24,0)</f>
        <v>0</v>
      </c>
      <c r="AE24" s="38">
        <f>IF(AQ24="7",BI24,0)</f>
        <v>0</v>
      </c>
      <c r="AF24" s="38">
        <f>IF(AQ24="2",BH24,0)</f>
        <v>0</v>
      </c>
      <c r="AG24" s="38">
        <f>IF(AQ24="2",BI24,0)</f>
        <v>0</v>
      </c>
      <c r="AH24" s="38">
        <f>IF(AQ24="0",BJ24,0)</f>
        <v>0</v>
      </c>
      <c r="AI24" s="37"/>
      <c r="AJ24" s="20">
        <f>IF(AN24=0,K24,0)</f>
        <v>0</v>
      </c>
      <c r="AK24" s="20">
        <f>IF(AN24=15,K24,0)</f>
        <v>0</v>
      </c>
      <c r="AL24" s="20">
        <f>IF(AN24=21,K24,0)</f>
        <v>0</v>
      </c>
      <c r="AN24" s="38">
        <v>21</v>
      </c>
      <c r="AO24" s="38">
        <f>H24*0</f>
        <v>0</v>
      </c>
      <c r="AP24" s="38">
        <f>H24*(1-0)</f>
        <v>0</v>
      </c>
      <c r="AQ24" s="39" t="s">
        <v>7</v>
      </c>
      <c r="AV24" s="38">
        <f>AW24+AX24</f>
        <v>0</v>
      </c>
      <c r="AW24" s="38">
        <f>G24*AO24</f>
        <v>0</v>
      </c>
      <c r="AX24" s="38">
        <f>G24*AP24</f>
        <v>0</v>
      </c>
      <c r="AY24" s="41" t="s">
        <v>240</v>
      </c>
      <c r="AZ24" s="41" t="s">
        <v>252</v>
      </c>
      <c r="BA24" s="37" t="s">
        <v>257</v>
      </c>
      <c r="BC24" s="38">
        <f>AW24+AX24</f>
        <v>0</v>
      </c>
      <c r="BD24" s="38">
        <f>H24/(100-BE24)*100</f>
        <v>0</v>
      </c>
      <c r="BE24" s="38">
        <v>0</v>
      </c>
      <c r="BF24" s="38">
        <f>24</f>
        <v>24</v>
      </c>
      <c r="BH24" s="20">
        <f>G24*AO24</f>
        <v>0</v>
      </c>
      <c r="BI24" s="20">
        <f>G24*AP24</f>
        <v>0</v>
      </c>
      <c r="BJ24" s="20">
        <f>G24*H24</f>
        <v>0</v>
      </c>
      <c r="BK24" s="20" t="s">
        <v>263</v>
      </c>
      <c r="BL24" s="38">
        <v>56</v>
      </c>
    </row>
    <row r="25" spans="1:64" ht="12.75">
      <c r="A25" s="6" t="s">
        <v>16</v>
      </c>
      <c r="B25" s="15" t="s">
        <v>75</v>
      </c>
      <c r="C25" s="74" t="s">
        <v>144</v>
      </c>
      <c r="D25" s="75"/>
      <c r="E25" s="75"/>
      <c r="F25" s="15" t="s">
        <v>206</v>
      </c>
      <c r="G25" s="21">
        <v>160.272</v>
      </c>
      <c r="H25" s="21">
        <v>0</v>
      </c>
      <c r="I25" s="21">
        <f>G25*AO25</f>
        <v>0</v>
      </c>
      <c r="J25" s="21">
        <f>G25*AP25</f>
        <v>0</v>
      </c>
      <c r="K25" s="21">
        <f>G25*H25</f>
        <v>0</v>
      </c>
      <c r="L25" s="33" t="s">
        <v>227</v>
      </c>
      <c r="M25" s="35"/>
      <c r="Z25" s="38">
        <f>IF(AQ25="5",BJ25,0)</f>
        <v>0</v>
      </c>
      <c r="AB25" s="38">
        <f>IF(AQ25="1",BH25,0)</f>
        <v>0</v>
      </c>
      <c r="AC25" s="38">
        <f>IF(AQ25="1",BI25,0)</f>
        <v>0</v>
      </c>
      <c r="AD25" s="38">
        <f>IF(AQ25="7",BH25,0)</f>
        <v>0</v>
      </c>
      <c r="AE25" s="38">
        <f>IF(AQ25="7",BI25,0)</f>
        <v>0</v>
      </c>
      <c r="AF25" s="38">
        <f>IF(AQ25="2",BH25,0)</f>
        <v>0</v>
      </c>
      <c r="AG25" s="38">
        <f>IF(AQ25="2",BI25,0)</f>
        <v>0</v>
      </c>
      <c r="AH25" s="38">
        <f>IF(AQ25="0",BJ25,0)</f>
        <v>0</v>
      </c>
      <c r="AI25" s="37"/>
      <c r="AJ25" s="21">
        <f>IF(AN25=0,K25,0)</f>
        <v>0</v>
      </c>
      <c r="AK25" s="21">
        <f>IF(AN25=15,K25,0)</f>
        <v>0</v>
      </c>
      <c r="AL25" s="21">
        <f>IF(AN25=21,K25,0)</f>
        <v>0</v>
      </c>
      <c r="AN25" s="38">
        <v>21</v>
      </c>
      <c r="AO25" s="38">
        <f>H25*1</f>
        <v>0</v>
      </c>
      <c r="AP25" s="38">
        <f>H25*(1-1)</f>
        <v>0</v>
      </c>
      <c r="AQ25" s="40" t="s">
        <v>7</v>
      </c>
      <c r="AV25" s="38">
        <f>AW25+AX25</f>
        <v>0</v>
      </c>
      <c r="AW25" s="38">
        <f>G25*AO25</f>
        <v>0</v>
      </c>
      <c r="AX25" s="38">
        <f>G25*AP25</f>
        <v>0</v>
      </c>
      <c r="AY25" s="41" t="s">
        <v>240</v>
      </c>
      <c r="AZ25" s="41" t="s">
        <v>252</v>
      </c>
      <c r="BA25" s="37" t="s">
        <v>257</v>
      </c>
      <c r="BC25" s="38">
        <f>AW25+AX25</f>
        <v>0</v>
      </c>
      <c r="BD25" s="38">
        <f>H25/(100-BE25)*100</f>
        <v>0</v>
      </c>
      <c r="BE25" s="38">
        <v>0</v>
      </c>
      <c r="BF25" s="38">
        <f>25</f>
        <v>25</v>
      </c>
      <c r="BH25" s="21">
        <f>G25*AO25</f>
        <v>0</v>
      </c>
      <c r="BI25" s="21">
        <f>G25*AP25</f>
        <v>0</v>
      </c>
      <c r="BJ25" s="21">
        <f>G25*H25</f>
        <v>0</v>
      </c>
      <c r="BK25" s="21" t="s">
        <v>264</v>
      </c>
      <c r="BL25" s="38">
        <v>56</v>
      </c>
    </row>
    <row r="26" spans="1:64" ht="12.75">
      <c r="A26" s="4" t="s">
        <v>17</v>
      </c>
      <c r="B26" s="13" t="s">
        <v>71</v>
      </c>
      <c r="C26" s="64" t="s">
        <v>138</v>
      </c>
      <c r="D26" s="65"/>
      <c r="E26" s="65"/>
      <c r="F26" s="13" t="s">
        <v>205</v>
      </c>
      <c r="G26" s="20">
        <v>0.04808</v>
      </c>
      <c r="H26" s="20">
        <v>0</v>
      </c>
      <c r="I26" s="20">
        <f>G26*AO26</f>
        <v>0</v>
      </c>
      <c r="J26" s="20">
        <f>G26*AP26</f>
        <v>0</v>
      </c>
      <c r="K26" s="20">
        <f>G26*H26</f>
        <v>0</v>
      </c>
      <c r="L26" s="31" t="s">
        <v>227</v>
      </c>
      <c r="M26" s="35"/>
      <c r="Z26" s="38">
        <f>IF(AQ26="5",BJ26,0)</f>
        <v>0</v>
      </c>
      <c r="AB26" s="38">
        <f>IF(AQ26="1",BH26,0)</f>
        <v>0</v>
      </c>
      <c r="AC26" s="38">
        <f>IF(AQ26="1",BI26,0)</f>
        <v>0</v>
      </c>
      <c r="AD26" s="38">
        <f>IF(AQ26="7",BH26,0)</f>
        <v>0</v>
      </c>
      <c r="AE26" s="38">
        <f>IF(AQ26="7",BI26,0)</f>
        <v>0</v>
      </c>
      <c r="AF26" s="38">
        <f>IF(AQ26="2",BH26,0)</f>
        <v>0</v>
      </c>
      <c r="AG26" s="38">
        <f>IF(AQ26="2",BI26,0)</f>
        <v>0</v>
      </c>
      <c r="AH26" s="38">
        <f>IF(AQ26="0",BJ26,0)</f>
        <v>0</v>
      </c>
      <c r="AI26" s="37"/>
      <c r="AJ26" s="20">
        <f>IF(AN26=0,K26,0)</f>
        <v>0</v>
      </c>
      <c r="AK26" s="20">
        <f>IF(AN26=15,K26,0)</f>
        <v>0</v>
      </c>
      <c r="AL26" s="20">
        <f>IF(AN26=21,K26,0)</f>
        <v>0</v>
      </c>
      <c r="AN26" s="38">
        <v>21</v>
      </c>
      <c r="AO26" s="38">
        <f>H26*0</f>
        <v>0</v>
      </c>
      <c r="AP26" s="38">
        <f>H26*(1-0)</f>
        <v>0</v>
      </c>
      <c r="AQ26" s="39" t="s">
        <v>11</v>
      </c>
      <c r="AV26" s="38">
        <f>AW26+AX26</f>
        <v>0</v>
      </c>
      <c r="AW26" s="38">
        <f>G26*AO26</f>
        <v>0</v>
      </c>
      <c r="AX26" s="38">
        <f>G26*AP26</f>
        <v>0</v>
      </c>
      <c r="AY26" s="41" t="s">
        <v>240</v>
      </c>
      <c r="AZ26" s="41" t="s">
        <v>252</v>
      </c>
      <c r="BA26" s="37" t="s">
        <v>257</v>
      </c>
      <c r="BC26" s="38">
        <f>AW26+AX26</f>
        <v>0</v>
      </c>
      <c r="BD26" s="38">
        <f>H26/(100-BE26)*100</f>
        <v>0</v>
      </c>
      <c r="BE26" s="38">
        <v>0</v>
      </c>
      <c r="BF26" s="38">
        <f>26</f>
        <v>26</v>
      </c>
      <c r="BH26" s="20">
        <f>G26*AO26</f>
        <v>0</v>
      </c>
      <c r="BI26" s="20">
        <f>G26*AP26</f>
        <v>0</v>
      </c>
      <c r="BJ26" s="20">
        <f>G26*H26</f>
        <v>0</v>
      </c>
      <c r="BK26" s="20" t="s">
        <v>263</v>
      </c>
      <c r="BL26" s="38">
        <v>56</v>
      </c>
    </row>
    <row r="27" spans="1:47" ht="12.75">
      <c r="A27" s="5"/>
      <c r="B27" s="14" t="s">
        <v>76</v>
      </c>
      <c r="C27" s="72" t="s">
        <v>145</v>
      </c>
      <c r="D27" s="73"/>
      <c r="E27" s="73"/>
      <c r="F27" s="18" t="s">
        <v>6</v>
      </c>
      <c r="G27" s="18" t="s">
        <v>6</v>
      </c>
      <c r="H27" s="18" t="s">
        <v>6</v>
      </c>
      <c r="I27" s="44">
        <f>SUM(I28:I34)</f>
        <v>0</v>
      </c>
      <c r="J27" s="44">
        <f>SUM(J28:J34)</f>
        <v>0</v>
      </c>
      <c r="K27" s="44">
        <f>SUM(K28:K34)</f>
        <v>0</v>
      </c>
      <c r="L27" s="32"/>
      <c r="M27" s="35"/>
      <c r="AI27" s="37"/>
      <c r="AS27" s="44">
        <f>SUM(AJ28:AJ34)</f>
        <v>0</v>
      </c>
      <c r="AT27" s="44">
        <f>SUM(AK28:AK34)</f>
        <v>0</v>
      </c>
      <c r="AU27" s="44">
        <f>SUM(AL28:AL34)</f>
        <v>0</v>
      </c>
    </row>
    <row r="28" spans="1:64" ht="12.75">
      <c r="A28" s="4" t="s">
        <v>18</v>
      </c>
      <c r="B28" s="13" t="s">
        <v>77</v>
      </c>
      <c r="C28" s="64" t="s">
        <v>146</v>
      </c>
      <c r="D28" s="65"/>
      <c r="E28" s="65"/>
      <c r="F28" s="13" t="s">
        <v>206</v>
      </c>
      <c r="G28" s="20">
        <v>78.5785</v>
      </c>
      <c r="H28" s="20">
        <v>0</v>
      </c>
      <c r="I28" s="20">
        <f aca="true" t="shared" si="0" ref="I28:I34">G28*AO28</f>
        <v>0</v>
      </c>
      <c r="J28" s="20">
        <f aca="true" t="shared" si="1" ref="J28:J34">G28*AP28</f>
        <v>0</v>
      </c>
      <c r="K28" s="20">
        <f aca="true" t="shared" si="2" ref="K28:K34">G28*H28</f>
        <v>0</v>
      </c>
      <c r="L28" s="31" t="s">
        <v>227</v>
      </c>
      <c r="M28" s="35"/>
      <c r="Z28" s="38">
        <f aca="true" t="shared" si="3" ref="Z28:Z34">IF(AQ28="5",BJ28,0)</f>
        <v>0</v>
      </c>
      <c r="AB28" s="38">
        <f aca="true" t="shared" si="4" ref="AB28:AB34">IF(AQ28="1",BH28,0)</f>
        <v>0</v>
      </c>
      <c r="AC28" s="38">
        <f aca="true" t="shared" si="5" ref="AC28:AC34">IF(AQ28="1",BI28,0)</f>
        <v>0</v>
      </c>
      <c r="AD28" s="38">
        <f aca="true" t="shared" si="6" ref="AD28:AD34">IF(AQ28="7",BH28,0)</f>
        <v>0</v>
      </c>
      <c r="AE28" s="38">
        <f aca="true" t="shared" si="7" ref="AE28:AE34">IF(AQ28="7",BI28,0)</f>
        <v>0</v>
      </c>
      <c r="AF28" s="38">
        <f aca="true" t="shared" si="8" ref="AF28:AF34">IF(AQ28="2",BH28,0)</f>
        <v>0</v>
      </c>
      <c r="AG28" s="38">
        <f aca="true" t="shared" si="9" ref="AG28:AG34">IF(AQ28="2",BI28,0)</f>
        <v>0</v>
      </c>
      <c r="AH28" s="38">
        <f aca="true" t="shared" si="10" ref="AH28:AH34">IF(AQ28="0",BJ28,0)</f>
        <v>0</v>
      </c>
      <c r="AI28" s="37"/>
      <c r="AJ28" s="20">
        <f aca="true" t="shared" si="11" ref="AJ28:AJ34">IF(AN28=0,K28,0)</f>
        <v>0</v>
      </c>
      <c r="AK28" s="20">
        <f aca="true" t="shared" si="12" ref="AK28:AK34">IF(AN28=15,K28,0)</f>
        <v>0</v>
      </c>
      <c r="AL28" s="20">
        <f aca="true" t="shared" si="13" ref="AL28:AL34">IF(AN28=21,K28,0)</f>
        <v>0</v>
      </c>
      <c r="AN28" s="38">
        <v>21</v>
      </c>
      <c r="AO28" s="38">
        <f>H28*0</f>
        <v>0</v>
      </c>
      <c r="AP28" s="38">
        <f>H28*(1-0)</f>
        <v>0</v>
      </c>
      <c r="AQ28" s="39" t="s">
        <v>13</v>
      </c>
      <c r="AV28" s="38">
        <f aca="true" t="shared" si="14" ref="AV28:AV34">AW28+AX28</f>
        <v>0</v>
      </c>
      <c r="AW28" s="38">
        <f aca="true" t="shared" si="15" ref="AW28:AW34">G28*AO28</f>
        <v>0</v>
      </c>
      <c r="AX28" s="38">
        <f aca="true" t="shared" si="16" ref="AX28:AX34">G28*AP28</f>
        <v>0</v>
      </c>
      <c r="AY28" s="41" t="s">
        <v>241</v>
      </c>
      <c r="AZ28" s="41" t="s">
        <v>253</v>
      </c>
      <c r="BA28" s="37" t="s">
        <v>257</v>
      </c>
      <c r="BC28" s="38">
        <f aca="true" t="shared" si="17" ref="BC28:BC34">AW28+AX28</f>
        <v>0</v>
      </c>
      <c r="BD28" s="38">
        <f aca="true" t="shared" si="18" ref="BD28:BD34">H28/(100-BE28)*100</f>
        <v>0</v>
      </c>
      <c r="BE28" s="38">
        <v>0</v>
      </c>
      <c r="BF28" s="38">
        <f>28</f>
        <v>28</v>
      </c>
      <c r="BH28" s="20">
        <f aca="true" t="shared" si="19" ref="BH28:BH34">G28*AO28</f>
        <v>0</v>
      </c>
      <c r="BI28" s="20">
        <f aca="true" t="shared" si="20" ref="BI28:BI34">G28*AP28</f>
        <v>0</v>
      </c>
      <c r="BJ28" s="20">
        <f aca="true" t="shared" si="21" ref="BJ28:BJ34">G28*H28</f>
        <v>0</v>
      </c>
      <c r="BK28" s="20" t="s">
        <v>263</v>
      </c>
      <c r="BL28" s="38">
        <v>712</v>
      </c>
    </row>
    <row r="29" spans="1:64" ht="12.75">
      <c r="A29" s="4" t="s">
        <v>19</v>
      </c>
      <c r="B29" s="13" t="s">
        <v>78</v>
      </c>
      <c r="C29" s="64" t="s">
        <v>147</v>
      </c>
      <c r="D29" s="65"/>
      <c r="E29" s="65"/>
      <c r="F29" s="13" t="s">
        <v>207</v>
      </c>
      <c r="G29" s="20">
        <v>2</v>
      </c>
      <c r="H29" s="20">
        <v>0</v>
      </c>
      <c r="I29" s="20">
        <f t="shared" si="0"/>
        <v>0</v>
      </c>
      <c r="J29" s="20">
        <f t="shared" si="1"/>
        <v>0</v>
      </c>
      <c r="K29" s="20">
        <f t="shared" si="2"/>
        <v>0</v>
      </c>
      <c r="L29" s="31" t="s">
        <v>227</v>
      </c>
      <c r="M29" s="35"/>
      <c r="Z29" s="38">
        <f t="shared" si="3"/>
        <v>0</v>
      </c>
      <c r="AB29" s="38">
        <f t="shared" si="4"/>
        <v>0</v>
      </c>
      <c r="AC29" s="38">
        <f t="shared" si="5"/>
        <v>0</v>
      </c>
      <c r="AD29" s="38">
        <f t="shared" si="6"/>
        <v>0</v>
      </c>
      <c r="AE29" s="38">
        <f t="shared" si="7"/>
        <v>0</v>
      </c>
      <c r="AF29" s="38">
        <f t="shared" si="8"/>
        <v>0</v>
      </c>
      <c r="AG29" s="38">
        <f t="shared" si="9"/>
        <v>0</v>
      </c>
      <c r="AH29" s="38">
        <f t="shared" si="10"/>
        <v>0</v>
      </c>
      <c r="AI29" s="37"/>
      <c r="AJ29" s="20">
        <f t="shared" si="11"/>
        <v>0</v>
      </c>
      <c r="AK29" s="20">
        <f t="shared" si="12"/>
        <v>0</v>
      </c>
      <c r="AL29" s="20">
        <f t="shared" si="13"/>
        <v>0</v>
      </c>
      <c r="AN29" s="38">
        <v>21</v>
      </c>
      <c r="AO29" s="38">
        <f>H29*0.803585760517799</f>
        <v>0</v>
      </c>
      <c r="AP29" s="38">
        <f>H29*(1-0.803585760517799)</f>
        <v>0</v>
      </c>
      <c r="AQ29" s="39" t="s">
        <v>13</v>
      </c>
      <c r="AV29" s="38">
        <f t="shared" si="14"/>
        <v>0</v>
      </c>
      <c r="AW29" s="38">
        <f t="shared" si="15"/>
        <v>0</v>
      </c>
      <c r="AX29" s="38">
        <f t="shared" si="16"/>
        <v>0</v>
      </c>
      <c r="AY29" s="41" t="s">
        <v>241</v>
      </c>
      <c r="AZ29" s="41" t="s">
        <v>253</v>
      </c>
      <c r="BA29" s="37" t="s">
        <v>257</v>
      </c>
      <c r="BC29" s="38">
        <f t="shared" si="17"/>
        <v>0</v>
      </c>
      <c r="BD29" s="38">
        <f t="shared" si="18"/>
        <v>0</v>
      </c>
      <c r="BE29" s="38">
        <v>0</v>
      </c>
      <c r="BF29" s="38">
        <f>29</f>
        <v>29</v>
      </c>
      <c r="BH29" s="20">
        <f t="shared" si="19"/>
        <v>0</v>
      </c>
      <c r="BI29" s="20">
        <f t="shared" si="20"/>
        <v>0</v>
      </c>
      <c r="BJ29" s="20">
        <f t="shared" si="21"/>
        <v>0</v>
      </c>
      <c r="BK29" s="20" t="s">
        <v>263</v>
      </c>
      <c r="BL29" s="38">
        <v>712</v>
      </c>
    </row>
    <row r="30" spans="1:64" ht="12.75">
      <c r="A30" s="4" t="s">
        <v>20</v>
      </c>
      <c r="B30" s="13" t="s">
        <v>79</v>
      </c>
      <c r="C30" s="64" t="s">
        <v>148</v>
      </c>
      <c r="D30" s="65"/>
      <c r="E30" s="65"/>
      <c r="F30" s="13" t="s">
        <v>206</v>
      </c>
      <c r="G30" s="20">
        <v>148.405</v>
      </c>
      <c r="H30" s="20">
        <v>0</v>
      </c>
      <c r="I30" s="20">
        <f t="shared" si="0"/>
        <v>0</v>
      </c>
      <c r="J30" s="20">
        <f t="shared" si="1"/>
        <v>0</v>
      </c>
      <c r="K30" s="20">
        <f t="shared" si="2"/>
        <v>0</v>
      </c>
      <c r="L30" s="31" t="s">
        <v>227</v>
      </c>
      <c r="M30" s="35"/>
      <c r="Z30" s="38">
        <f t="shared" si="3"/>
        <v>0</v>
      </c>
      <c r="AB30" s="38">
        <f t="shared" si="4"/>
        <v>0</v>
      </c>
      <c r="AC30" s="38">
        <f t="shared" si="5"/>
        <v>0</v>
      </c>
      <c r="AD30" s="38">
        <f t="shared" si="6"/>
        <v>0</v>
      </c>
      <c r="AE30" s="38">
        <f t="shared" si="7"/>
        <v>0</v>
      </c>
      <c r="AF30" s="38">
        <f t="shared" si="8"/>
        <v>0</v>
      </c>
      <c r="AG30" s="38">
        <f t="shared" si="9"/>
        <v>0</v>
      </c>
      <c r="AH30" s="38">
        <f t="shared" si="10"/>
        <v>0</v>
      </c>
      <c r="AI30" s="37"/>
      <c r="AJ30" s="20">
        <f t="shared" si="11"/>
        <v>0</v>
      </c>
      <c r="AK30" s="20">
        <f t="shared" si="12"/>
        <v>0</v>
      </c>
      <c r="AL30" s="20">
        <f t="shared" si="13"/>
        <v>0</v>
      </c>
      <c r="AN30" s="38">
        <v>21</v>
      </c>
      <c r="AO30" s="38">
        <f>H30*0.628776834783122</f>
        <v>0</v>
      </c>
      <c r="AP30" s="38">
        <f>H30*(1-0.628776834783122)</f>
        <v>0</v>
      </c>
      <c r="AQ30" s="39" t="s">
        <v>13</v>
      </c>
      <c r="AV30" s="38">
        <f t="shared" si="14"/>
        <v>0</v>
      </c>
      <c r="AW30" s="38">
        <f t="shared" si="15"/>
        <v>0</v>
      </c>
      <c r="AX30" s="38">
        <f t="shared" si="16"/>
        <v>0</v>
      </c>
      <c r="AY30" s="41" t="s">
        <v>241</v>
      </c>
      <c r="AZ30" s="41" t="s">
        <v>253</v>
      </c>
      <c r="BA30" s="37" t="s">
        <v>257</v>
      </c>
      <c r="BC30" s="38">
        <f t="shared" si="17"/>
        <v>0</v>
      </c>
      <c r="BD30" s="38">
        <f t="shared" si="18"/>
        <v>0</v>
      </c>
      <c r="BE30" s="38">
        <v>0</v>
      </c>
      <c r="BF30" s="38">
        <f>30</f>
        <v>30</v>
      </c>
      <c r="BH30" s="20">
        <f t="shared" si="19"/>
        <v>0</v>
      </c>
      <c r="BI30" s="20">
        <f t="shared" si="20"/>
        <v>0</v>
      </c>
      <c r="BJ30" s="20">
        <f t="shared" si="21"/>
        <v>0</v>
      </c>
      <c r="BK30" s="20" t="s">
        <v>263</v>
      </c>
      <c r="BL30" s="38">
        <v>712</v>
      </c>
    </row>
    <row r="31" spans="1:64" ht="12.75">
      <c r="A31" s="4" t="s">
        <v>21</v>
      </c>
      <c r="B31" s="13" t="s">
        <v>80</v>
      </c>
      <c r="C31" s="64" t="s">
        <v>149</v>
      </c>
      <c r="D31" s="65"/>
      <c r="E31" s="65"/>
      <c r="F31" s="13" t="s">
        <v>204</v>
      </c>
      <c r="G31" s="20">
        <v>70.385</v>
      </c>
      <c r="H31" s="20">
        <v>0</v>
      </c>
      <c r="I31" s="20">
        <f t="shared" si="0"/>
        <v>0</v>
      </c>
      <c r="J31" s="20">
        <f t="shared" si="1"/>
        <v>0</v>
      </c>
      <c r="K31" s="20">
        <f t="shared" si="2"/>
        <v>0</v>
      </c>
      <c r="L31" s="31" t="s">
        <v>227</v>
      </c>
      <c r="M31" s="35"/>
      <c r="Z31" s="38">
        <f t="shared" si="3"/>
        <v>0</v>
      </c>
      <c r="AB31" s="38">
        <f t="shared" si="4"/>
        <v>0</v>
      </c>
      <c r="AC31" s="38">
        <f t="shared" si="5"/>
        <v>0</v>
      </c>
      <c r="AD31" s="38">
        <f t="shared" si="6"/>
        <v>0</v>
      </c>
      <c r="AE31" s="38">
        <f t="shared" si="7"/>
        <v>0</v>
      </c>
      <c r="AF31" s="38">
        <f t="shared" si="8"/>
        <v>0</v>
      </c>
      <c r="AG31" s="38">
        <f t="shared" si="9"/>
        <v>0</v>
      </c>
      <c r="AH31" s="38">
        <f t="shared" si="10"/>
        <v>0</v>
      </c>
      <c r="AI31" s="37"/>
      <c r="AJ31" s="20">
        <f t="shared" si="11"/>
        <v>0</v>
      </c>
      <c r="AK31" s="20">
        <f t="shared" si="12"/>
        <v>0</v>
      </c>
      <c r="AL31" s="20">
        <f t="shared" si="13"/>
        <v>0</v>
      </c>
      <c r="AN31" s="38">
        <v>21</v>
      </c>
      <c r="AO31" s="38">
        <f>H31*0.49838441844898</f>
        <v>0</v>
      </c>
      <c r="AP31" s="38">
        <f>H31*(1-0.49838441844898)</f>
        <v>0</v>
      </c>
      <c r="AQ31" s="39" t="s">
        <v>13</v>
      </c>
      <c r="AV31" s="38">
        <f t="shared" si="14"/>
        <v>0</v>
      </c>
      <c r="AW31" s="38">
        <f t="shared" si="15"/>
        <v>0</v>
      </c>
      <c r="AX31" s="38">
        <f t="shared" si="16"/>
        <v>0</v>
      </c>
      <c r="AY31" s="41" t="s">
        <v>241</v>
      </c>
      <c r="AZ31" s="41" t="s">
        <v>253</v>
      </c>
      <c r="BA31" s="37" t="s">
        <v>257</v>
      </c>
      <c r="BC31" s="38">
        <f t="shared" si="17"/>
        <v>0</v>
      </c>
      <c r="BD31" s="38">
        <f t="shared" si="18"/>
        <v>0</v>
      </c>
      <c r="BE31" s="38">
        <v>0</v>
      </c>
      <c r="BF31" s="38">
        <f>31</f>
        <v>31</v>
      </c>
      <c r="BH31" s="20">
        <f t="shared" si="19"/>
        <v>0</v>
      </c>
      <c r="BI31" s="20">
        <f t="shared" si="20"/>
        <v>0</v>
      </c>
      <c r="BJ31" s="20">
        <f t="shared" si="21"/>
        <v>0</v>
      </c>
      <c r="BK31" s="20" t="s">
        <v>263</v>
      </c>
      <c r="BL31" s="38">
        <v>712</v>
      </c>
    </row>
    <row r="32" spans="1:64" ht="12.75">
      <c r="A32" s="4" t="s">
        <v>22</v>
      </c>
      <c r="B32" s="13" t="s">
        <v>81</v>
      </c>
      <c r="C32" s="64" t="s">
        <v>150</v>
      </c>
      <c r="D32" s="65"/>
      <c r="E32" s="65"/>
      <c r="F32" s="13" t="s">
        <v>204</v>
      </c>
      <c r="G32" s="20">
        <v>35</v>
      </c>
      <c r="H32" s="20">
        <v>0</v>
      </c>
      <c r="I32" s="20">
        <f t="shared" si="0"/>
        <v>0</v>
      </c>
      <c r="J32" s="20">
        <f t="shared" si="1"/>
        <v>0</v>
      </c>
      <c r="K32" s="20">
        <f t="shared" si="2"/>
        <v>0</v>
      </c>
      <c r="L32" s="31" t="s">
        <v>227</v>
      </c>
      <c r="M32" s="35"/>
      <c r="Z32" s="38">
        <f t="shared" si="3"/>
        <v>0</v>
      </c>
      <c r="AB32" s="38">
        <f t="shared" si="4"/>
        <v>0</v>
      </c>
      <c r="AC32" s="38">
        <f t="shared" si="5"/>
        <v>0</v>
      </c>
      <c r="AD32" s="38">
        <f t="shared" si="6"/>
        <v>0</v>
      </c>
      <c r="AE32" s="38">
        <f t="shared" si="7"/>
        <v>0</v>
      </c>
      <c r="AF32" s="38">
        <f t="shared" si="8"/>
        <v>0</v>
      </c>
      <c r="AG32" s="38">
        <f t="shared" si="9"/>
        <v>0</v>
      </c>
      <c r="AH32" s="38">
        <f t="shared" si="10"/>
        <v>0</v>
      </c>
      <c r="AI32" s="37"/>
      <c r="AJ32" s="20">
        <f t="shared" si="11"/>
        <v>0</v>
      </c>
      <c r="AK32" s="20">
        <f t="shared" si="12"/>
        <v>0</v>
      </c>
      <c r="AL32" s="20">
        <f t="shared" si="13"/>
        <v>0</v>
      </c>
      <c r="AN32" s="38">
        <v>21</v>
      </c>
      <c r="AO32" s="38">
        <f>H32*0.37</f>
        <v>0</v>
      </c>
      <c r="AP32" s="38">
        <f>H32*(1-0.37)</f>
        <v>0</v>
      </c>
      <c r="AQ32" s="39" t="s">
        <v>13</v>
      </c>
      <c r="AV32" s="38">
        <f t="shared" si="14"/>
        <v>0</v>
      </c>
      <c r="AW32" s="38">
        <f t="shared" si="15"/>
        <v>0</v>
      </c>
      <c r="AX32" s="38">
        <f t="shared" si="16"/>
        <v>0</v>
      </c>
      <c r="AY32" s="41" t="s">
        <v>241</v>
      </c>
      <c r="AZ32" s="41" t="s">
        <v>253</v>
      </c>
      <c r="BA32" s="37" t="s">
        <v>257</v>
      </c>
      <c r="BC32" s="38">
        <f t="shared" si="17"/>
        <v>0</v>
      </c>
      <c r="BD32" s="38">
        <f t="shared" si="18"/>
        <v>0</v>
      </c>
      <c r="BE32" s="38">
        <v>0</v>
      </c>
      <c r="BF32" s="38">
        <f>32</f>
        <v>32</v>
      </c>
      <c r="BH32" s="20">
        <f t="shared" si="19"/>
        <v>0</v>
      </c>
      <c r="BI32" s="20">
        <f t="shared" si="20"/>
        <v>0</v>
      </c>
      <c r="BJ32" s="20">
        <f t="shared" si="21"/>
        <v>0</v>
      </c>
      <c r="BK32" s="20" t="s">
        <v>263</v>
      </c>
      <c r="BL32" s="38">
        <v>712</v>
      </c>
    </row>
    <row r="33" spans="1:64" ht="12.75">
      <c r="A33" s="4" t="s">
        <v>23</v>
      </c>
      <c r="B33" s="13" t="s">
        <v>82</v>
      </c>
      <c r="C33" s="64" t="s">
        <v>151</v>
      </c>
      <c r="D33" s="65"/>
      <c r="E33" s="65"/>
      <c r="F33" s="13" t="s">
        <v>207</v>
      </c>
      <c r="G33" s="20">
        <v>5</v>
      </c>
      <c r="H33" s="20">
        <v>0</v>
      </c>
      <c r="I33" s="20">
        <f t="shared" si="0"/>
        <v>0</v>
      </c>
      <c r="J33" s="20">
        <f t="shared" si="1"/>
        <v>0</v>
      </c>
      <c r="K33" s="20">
        <f t="shared" si="2"/>
        <v>0</v>
      </c>
      <c r="L33" s="31" t="s">
        <v>227</v>
      </c>
      <c r="M33" s="35"/>
      <c r="Z33" s="38">
        <f t="shared" si="3"/>
        <v>0</v>
      </c>
      <c r="AB33" s="38">
        <f t="shared" si="4"/>
        <v>0</v>
      </c>
      <c r="AC33" s="38">
        <f t="shared" si="5"/>
        <v>0</v>
      </c>
      <c r="AD33" s="38">
        <f t="shared" si="6"/>
        <v>0</v>
      </c>
      <c r="AE33" s="38">
        <f t="shared" si="7"/>
        <v>0</v>
      </c>
      <c r="AF33" s="38">
        <f t="shared" si="8"/>
        <v>0</v>
      </c>
      <c r="AG33" s="38">
        <f t="shared" si="9"/>
        <v>0</v>
      </c>
      <c r="AH33" s="38">
        <f t="shared" si="10"/>
        <v>0</v>
      </c>
      <c r="AI33" s="37"/>
      <c r="AJ33" s="20">
        <f t="shared" si="11"/>
        <v>0</v>
      </c>
      <c r="AK33" s="20">
        <f t="shared" si="12"/>
        <v>0</v>
      </c>
      <c r="AL33" s="20">
        <f t="shared" si="13"/>
        <v>0</v>
      </c>
      <c r="AN33" s="38">
        <v>21</v>
      </c>
      <c r="AO33" s="38">
        <f>H33*0.83718024691358</f>
        <v>0</v>
      </c>
      <c r="AP33" s="38">
        <f>H33*(1-0.83718024691358)</f>
        <v>0</v>
      </c>
      <c r="AQ33" s="39" t="s">
        <v>13</v>
      </c>
      <c r="AV33" s="38">
        <f t="shared" si="14"/>
        <v>0</v>
      </c>
      <c r="AW33" s="38">
        <f t="shared" si="15"/>
        <v>0</v>
      </c>
      <c r="AX33" s="38">
        <f t="shared" si="16"/>
        <v>0</v>
      </c>
      <c r="AY33" s="41" t="s">
        <v>241</v>
      </c>
      <c r="AZ33" s="41" t="s">
        <v>253</v>
      </c>
      <c r="BA33" s="37" t="s">
        <v>257</v>
      </c>
      <c r="BB33" s="37" t="s">
        <v>258</v>
      </c>
      <c r="BC33" s="38">
        <f t="shared" si="17"/>
        <v>0</v>
      </c>
      <c r="BD33" s="38">
        <f t="shared" si="18"/>
        <v>0</v>
      </c>
      <c r="BE33" s="38">
        <v>0</v>
      </c>
      <c r="BF33" s="38">
        <f>33</f>
        <v>33</v>
      </c>
      <c r="BH33" s="20">
        <f t="shared" si="19"/>
        <v>0</v>
      </c>
      <c r="BI33" s="20">
        <f t="shared" si="20"/>
        <v>0</v>
      </c>
      <c r="BJ33" s="20">
        <f t="shared" si="21"/>
        <v>0</v>
      </c>
      <c r="BK33" s="20" t="s">
        <v>263</v>
      </c>
      <c r="BL33" s="38">
        <v>712</v>
      </c>
    </row>
    <row r="34" spans="1:64" ht="12.75">
      <c r="A34" s="4" t="s">
        <v>24</v>
      </c>
      <c r="B34" s="13" t="s">
        <v>83</v>
      </c>
      <c r="C34" s="64" t="s">
        <v>152</v>
      </c>
      <c r="D34" s="65"/>
      <c r="E34" s="65"/>
      <c r="F34" s="13" t="s">
        <v>205</v>
      </c>
      <c r="G34" s="20">
        <v>1.33358</v>
      </c>
      <c r="H34" s="20">
        <v>0</v>
      </c>
      <c r="I34" s="20">
        <f t="shared" si="0"/>
        <v>0</v>
      </c>
      <c r="J34" s="20">
        <f t="shared" si="1"/>
        <v>0</v>
      </c>
      <c r="K34" s="20">
        <f t="shared" si="2"/>
        <v>0</v>
      </c>
      <c r="L34" s="31" t="s">
        <v>227</v>
      </c>
      <c r="M34" s="35"/>
      <c r="Z34" s="38">
        <f t="shared" si="3"/>
        <v>0</v>
      </c>
      <c r="AB34" s="38">
        <f t="shared" si="4"/>
        <v>0</v>
      </c>
      <c r="AC34" s="38">
        <f t="shared" si="5"/>
        <v>0</v>
      </c>
      <c r="AD34" s="38">
        <f t="shared" si="6"/>
        <v>0</v>
      </c>
      <c r="AE34" s="38">
        <f t="shared" si="7"/>
        <v>0</v>
      </c>
      <c r="AF34" s="38">
        <f t="shared" si="8"/>
        <v>0</v>
      </c>
      <c r="AG34" s="38">
        <f t="shared" si="9"/>
        <v>0</v>
      </c>
      <c r="AH34" s="38">
        <f t="shared" si="10"/>
        <v>0</v>
      </c>
      <c r="AI34" s="37"/>
      <c r="AJ34" s="20">
        <f t="shared" si="11"/>
        <v>0</v>
      </c>
      <c r="AK34" s="20">
        <f t="shared" si="12"/>
        <v>0</v>
      </c>
      <c r="AL34" s="20">
        <f t="shared" si="13"/>
        <v>0</v>
      </c>
      <c r="AN34" s="38">
        <v>21</v>
      </c>
      <c r="AO34" s="38">
        <f>H34*0</f>
        <v>0</v>
      </c>
      <c r="AP34" s="38">
        <f>H34*(1-0)</f>
        <v>0</v>
      </c>
      <c r="AQ34" s="39" t="s">
        <v>11</v>
      </c>
      <c r="AV34" s="38">
        <f t="shared" si="14"/>
        <v>0</v>
      </c>
      <c r="AW34" s="38">
        <f t="shared" si="15"/>
        <v>0</v>
      </c>
      <c r="AX34" s="38">
        <f t="shared" si="16"/>
        <v>0</v>
      </c>
      <c r="AY34" s="41" t="s">
        <v>241</v>
      </c>
      <c r="AZ34" s="41" t="s">
        <v>253</v>
      </c>
      <c r="BA34" s="37" t="s">
        <v>257</v>
      </c>
      <c r="BC34" s="38">
        <f t="shared" si="17"/>
        <v>0</v>
      </c>
      <c r="BD34" s="38">
        <f t="shared" si="18"/>
        <v>0</v>
      </c>
      <c r="BE34" s="38">
        <v>0</v>
      </c>
      <c r="BF34" s="38">
        <f>34</f>
        <v>34</v>
      </c>
      <c r="BH34" s="20">
        <f t="shared" si="19"/>
        <v>0</v>
      </c>
      <c r="BI34" s="20">
        <f t="shared" si="20"/>
        <v>0</v>
      </c>
      <c r="BJ34" s="20">
        <f t="shared" si="21"/>
        <v>0</v>
      </c>
      <c r="BK34" s="20" t="s">
        <v>263</v>
      </c>
      <c r="BL34" s="38">
        <v>712</v>
      </c>
    </row>
    <row r="35" spans="1:47" ht="12.75">
      <c r="A35" s="5"/>
      <c r="B35" s="14" t="s">
        <v>84</v>
      </c>
      <c r="C35" s="72" t="s">
        <v>153</v>
      </c>
      <c r="D35" s="73"/>
      <c r="E35" s="73"/>
      <c r="F35" s="18" t="s">
        <v>6</v>
      </c>
      <c r="G35" s="18" t="s">
        <v>6</v>
      </c>
      <c r="H35" s="18" t="s">
        <v>6</v>
      </c>
      <c r="I35" s="44">
        <f>SUM(I36:I41)</f>
        <v>0</v>
      </c>
      <c r="J35" s="44">
        <f>SUM(J36:J41)</f>
        <v>0</v>
      </c>
      <c r="K35" s="44">
        <f>SUM(K36:K41)</f>
        <v>0</v>
      </c>
      <c r="L35" s="32"/>
      <c r="M35" s="35"/>
      <c r="AI35" s="37"/>
      <c r="AS35" s="44">
        <f>SUM(AJ36:AJ41)</f>
        <v>0</v>
      </c>
      <c r="AT35" s="44">
        <f>SUM(AK36:AK41)</f>
        <v>0</v>
      </c>
      <c r="AU35" s="44">
        <f>SUM(AL36:AL41)</f>
        <v>0</v>
      </c>
    </row>
    <row r="36" spans="1:64" ht="12.75">
      <c r="A36" s="4" t="s">
        <v>25</v>
      </c>
      <c r="B36" s="13" t="s">
        <v>85</v>
      </c>
      <c r="C36" s="64" t="s">
        <v>154</v>
      </c>
      <c r="D36" s="65"/>
      <c r="E36" s="65"/>
      <c r="F36" s="13" t="s">
        <v>206</v>
      </c>
      <c r="G36" s="20">
        <v>75.00676</v>
      </c>
      <c r="H36" s="20">
        <v>0</v>
      </c>
      <c r="I36" s="20">
        <f aca="true" t="shared" si="22" ref="I36:I41">G36*AO36</f>
        <v>0</v>
      </c>
      <c r="J36" s="20">
        <f aca="true" t="shared" si="23" ref="J36:J41">G36*AP36</f>
        <v>0</v>
      </c>
      <c r="K36" s="20">
        <f aca="true" t="shared" si="24" ref="K36:K41">G36*H36</f>
        <v>0</v>
      </c>
      <c r="L36" s="31" t="s">
        <v>227</v>
      </c>
      <c r="M36" s="35"/>
      <c r="Z36" s="38">
        <f aca="true" t="shared" si="25" ref="Z36:Z41">IF(AQ36="5",BJ36,0)</f>
        <v>0</v>
      </c>
      <c r="AB36" s="38">
        <f aca="true" t="shared" si="26" ref="AB36:AB41">IF(AQ36="1",BH36,0)</f>
        <v>0</v>
      </c>
      <c r="AC36" s="38">
        <f aca="true" t="shared" si="27" ref="AC36:AC41">IF(AQ36="1",BI36,0)</f>
        <v>0</v>
      </c>
      <c r="AD36" s="38">
        <f aca="true" t="shared" si="28" ref="AD36:AD41">IF(AQ36="7",BH36,0)</f>
        <v>0</v>
      </c>
      <c r="AE36" s="38">
        <f aca="true" t="shared" si="29" ref="AE36:AE41">IF(AQ36="7",BI36,0)</f>
        <v>0</v>
      </c>
      <c r="AF36" s="38">
        <f aca="true" t="shared" si="30" ref="AF36:AF41">IF(AQ36="2",BH36,0)</f>
        <v>0</v>
      </c>
      <c r="AG36" s="38">
        <f aca="true" t="shared" si="31" ref="AG36:AG41">IF(AQ36="2",BI36,0)</f>
        <v>0</v>
      </c>
      <c r="AH36" s="38">
        <f aca="true" t="shared" si="32" ref="AH36:AH41">IF(AQ36="0",BJ36,0)</f>
        <v>0</v>
      </c>
      <c r="AI36" s="37"/>
      <c r="AJ36" s="20">
        <f aca="true" t="shared" si="33" ref="AJ36:AJ41">IF(AN36=0,K36,0)</f>
        <v>0</v>
      </c>
      <c r="AK36" s="20">
        <f aca="true" t="shared" si="34" ref="AK36:AK41">IF(AN36=15,K36,0)</f>
        <v>0</v>
      </c>
      <c r="AL36" s="20">
        <f aca="true" t="shared" si="35" ref="AL36:AL41">IF(AN36=21,K36,0)</f>
        <v>0</v>
      </c>
      <c r="AN36" s="38">
        <v>21</v>
      </c>
      <c r="AO36" s="38">
        <f>H36*0.281705078890262</f>
        <v>0</v>
      </c>
      <c r="AP36" s="38">
        <f>H36*(1-0.281705078890262)</f>
        <v>0</v>
      </c>
      <c r="AQ36" s="39" t="s">
        <v>13</v>
      </c>
      <c r="AV36" s="38">
        <f aca="true" t="shared" si="36" ref="AV36:AV41">AW36+AX36</f>
        <v>0</v>
      </c>
      <c r="AW36" s="38">
        <f aca="true" t="shared" si="37" ref="AW36:AW41">G36*AO36</f>
        <v>0</v>
      </c>
      <c r="AX36" s="38">
        <f aca="true" t="shared" si="38" ref="AX36:AX41">G36*AP36</f>
        <v>0</v>
      </c>
      <c r="AY36" s="41" t="s">
        <v>242</v>
      </c>
      <c r="AZ36" s="41" t="s">
        <v>253</v>
      </c>
      <c r="BA36" s="37" t="s">
        <v>257</v>
      </c>
      <c r="BC36" s="38">
        <f aca="true" t="shared" si="39" ref="BC36:BC41">AW36+AX36</f>
        <v>0</v>
      </c>
      <c r="BD36" s="38">
        <f aca="true" t="shared" si="40" ref="BD36:BD41">H36/(100-BE36)*100</f>
        <v>0</v>
      </c>
      <c r="BE36" s="38">
        <v>0</v>
      </c>
      <c r="BF36" s="38">
        <f>36</f>
        <v>36</v>
      </c>
      <c r="BH36" s="20">
        <f aca="true" t="shared" si="41" ref="BH36:BH41">G36*AO36</f>
        <v>0</v>
      </c>
      <c r="BI36" s="20">
        <f aca="true" t="shared" si="42" ref="BI36:BI41">G36*AP36</f>
        <v>0</v>
      </c>
      <c r="BJ36" s="20">
        <f aca="true" t="shared" si="43" ref="BJ36:BJ41">G36*H36</f>
        <v>0</v>
      </c>
      <c r="BK36" s="20" t="s">
        <v>263</v>
      </c>
      <c r="BL36" s="38">
        <v>713</v>
      </c>
    </row>
    <row r="37" spans="1:64" ht="12.75">
      <c r="A37" s="6" t="s">
        <v>26</v>
      </c>
      <c r="B37" s="15" t="s">
        <v>86</v>
      </c>
      <c r="C37" s="74" t="s">
        <v>155</v>
      </c>
      <c r="D37" s="75"/>
      <c r="E37" s="75"/>
      <c r="F37" s="15" t="s">
        <v>208</v>
      </c>
      <c r="G37" s="21">
        <v>16.5</v>
      </c>
      <c r="H37" s="21">
        <v>0</v>
      </c>
      <c r="I37" s="21">
        <f t="shared" si="22"/>
        <v>0</v>
      </c>
      <c r="J37" s="21">
        <f t="shared" si="23"/>
        <v>0</v>
      </c>
      <c r="K37" s="21">
        <f t="shared" si="24"/>
        <v>0</v>
      </c>
      <c r="L37" s="33" t="s">
        <v>227</v>
      </c>
      <c r="M37" s="35"/>
      <c r="Z37" s="38">
        <f t="shared" si="25"/>
        <v>0</v>
      </c>
      <c r="AB37" s="38">
        <f t="shared" si="26"/>
        <v>0</v>
      </c>
      <c r="AC37" s="38">
        <f t="shared" si="27"/>
        <v>0</v>
      </c>
      <c r="AD37" s="38">
        <f t="shared" si="28"/>
        <v>0</v>
      </c>
      <c r="AE37" s="38">
        <f t="shared" si="29"/>
        <v>0</v>
      </c>
      <c r="AF37" s="38">
        <f t="shared" si="30"/>
        <v>0</v>
      </c>
      <c r="AG37" s="38">
        <f t="shared" si="31"/>
        <v>0</v>
      </c>
      <c r="AH37" s="38">
        <f t="shared" si="32"/>
        <v>0</v>
      </c>
      <c r="AI37" s="37"/>
      <c r="AJ37" s="21">
        <f t="shared" si="33"/>
        <v>0</v>
      </c>
      <c r="AK37" s="21">
        <f t="shared" si="34"/>
        <v>0</v>
      </c>
      <c r="AL37" s="21">
        <f t="shared" si="35"/>
        <v>0</v>
      </c>
      <c r="AN37" s="38">
        <v>21</v>
      </c>
      <c r="AO37" s="38">
        <f>H37*1</f>
        <v>0</v>
      </c>
      <c r="AP37" s="38">
        <f>H37*(1-1)</f>
        <v>0</v>
      </c>
      <c r="AQ37" s="40" t="s">
        <v>13</v>
      </c>
      <c r="AV37" s="38">
        <f t="shared" si="36"/>
        <v>0</v>
      </c>
      <c r="AW37" s="38">
        <f t="shared" si="37"/>
        <v>0</v>
      </c>
      <c r="AX37" s="38">
        <f t="shared" si="38"/>
        <v>0</v>
      </c>
      <c r="AY37" s="41" t="s">
        <v>242</v>
      </c>
      <c r="AZ37" s="41" t="s">
        <v>253</v>
      </c>
      <c r="BA37" s="37" t="s">
        <v>257</v>
      </c>
      <c r="BC37" s="38">
        <f t="shared" si="39"/>
        <v>0</v>
      </c>
      <c r="BD37" s="38">
        <f t="shared" si="40"/>
        <v>0</v>
      </c>
      <c r="BE37" s="38">
        <v>0</v>
      </c>
      <c r="BF37" s="38">
        <f>37</f>
        <v>37</v>
      </c>
      <c r="BH37" s="21">
        <f t="shared" si="41"/>
        <v>0</v>
      </c>
      <c r="BI37" s="21">
        <f t="shared" si="42"/>
        <v>0</v>
      </c>
      <c r="BJ37" s="21">
        <f t="shared" si="43"/>
        <v>0</v>
      </c>
      <c r="BK37" s="21" t="s">
        <v>264</v>
      </c>
      <c r="BL37" s="38">
        <v>713</v>
      </c>
    </row>
    <row r="38" spans="1:64" ht="12.75">
      <c r="A38" s="4" t="s">
        <v>27</v>
      </c>
      <c r="B38" s="13" t="s">
        <v>87</v>
      </c>
      <c r="C38" s="64" t="s">
        <v>156</v>
      </c>
      <c r="D38" s="65"/>
      <c r="E38" s="65"/>
      <c r="F38" s="13" t="s">
        <v>206</v>
      </c>
      <c r="G38" s="20">
        <v>148.4</v>
      </c>
      <c r="H38" s="20">
        <v>0</v>
      </c>
      <c r="I38" s="20">
        <f t="shared" si="22"/>
        <v>0</v>
      </c>
      <c r="J38" s="20">
        <f t="shared" si="23"/>
        <v>0</v>
      </c>
      <c r="K38" s="20">
        <f t="shared" si="24"/>
        <v>0</v>
      </c>
      <c r="L38" s="31" t="s">
        <v>227</v>
      </c>
      <c r="M38" s="35"/>
      <c r="Z38" s="38">
        <f t="shared" si="25"/>
        <v>0</v>
      </c>
      <c r="AB38" s="38">
        <f t="shared" si="26"/>
        <v>0</v>
      </c>
      <c r="AC38" s="38">
        <f t="shared" si="27"/>
        <v>0</v>
      </c>
      <c r="AD38" s="38">
        <f t="shared" si="28"/>
        <v>0</v>
      </c>
      <c r="AE38" s="38">
        <f t="shared" si="29"/>
        <v>0</v>
      </c>
      <c r="AF38" s="38">
        <f t="shared" si="30"/>
        <v>0</v>
      </c>
      <c r="AG38" s="38">
        <f t="shared" si="31"/>
        <v>0</v>
      </c>
      <c r="AH38" s="38">
        <f t="shared" si="32"/>
        <v>0</v>
      </c>
      <c r="AI38" s="37"/>
      <c r="AJ38" s="20">
        <f t="shared" si="33"/>
        <v>0</v>
      </c>
      <c r="AK38" s="20">
        <f t="shared" si="34"/>
        <v>0</v>
      </c>
      <c r="AL38" s="20">
        <f t="shared" si="35"/>
        <v>0</v>
      </c>
      <c r="AN38" s="38">
        <v>21</v>
      </c>
      <c r="AO38" s="38">
        <f>H38*0.10277664468667</f>
        <v>0</v>
      </c>
      <c r="AP38" s="38">
        <f>H38*(1-0.10277664468667)</f>
        <v>0</v>
      </c>
      <c r="AQ38" s="39" t="s">
        <v>13</v>
      </c>
      <c r="AV38" s="38">
        <f t="shared" si="36"/>
        <v>0</v>
      </c>
      <c r="AW38" s="38">
        <f t="shared" si="37"/>
        <v>0</v>
      </c>
      <c r="AX38" s="38">
        <f t="shared" si="38"/>
        <v>0</v>
      </c>
      <c r="AY38" s="41" t="s">
        <v>242</v>
      </c>
      <c r="AZ38" s="41" t="s">
        <v>253</v>
      </c>
      <c r="BA38" s="37" t="s">
        <v>257</v>
      </c>
      <c r="BC38" s="38">
        <f t="shared" si="39"/>
        <v>0</v>
      </c>
      <c r="BD38" s="38">
        <f t="shared" si="40"/>
        <v>0</v>
      </c>
      <c r="BE38" s="38">
        <v>0</v>
      </c>
      <c r="BF38" s="38">
        <f>38</f>
        <v>38</v>
      </c>
      <c r="BH38" s="20">
        <f t="shared" si="41"/>
        <v>0</v>
      </c>
      <c r="BI38" s="20">
        <f t="shared" si="42"/>
        <v>0</v>
      </c>
      <c r="BJ38" s="20">
        <f t="shared" si="43"/>
        <v>0</v>
      </c>
      <c r="BK38" s="20" t="s">
        <v>263</v>
      </c>
      <c r="BL38" s="38">
        <v>713</v>
      </c>
    </row>
    <row r="39" spans="1:64" ht="12.75">
      <c r="A39" s="6" t="s">
        <v>28</v>
      </c>
      <c r="B39" s="15" t="s">
        <v>88</v>
      </c>
      <c r="C39" s="74" t="s">
        <v>157</v>
      </c>
      <c r="D39" s="75"/>
      <c r="E39" s="75"/>
      <c r="F39" s="15" t="s">
        <v>206</v>
      </c>
      <c r="G39" s="21">
        <v>160.272</v>
      </c>
      <c r="H39" s="21">
        <v>0</v>
      </c>
      <c r="I39" s="21">
        <f t="shared" si="22"/>
        <v>0</v>
      </c>
      <c r="J39" s="21">
        <f t="shared" si="23"/>
        <v>0</v>
      </c>
      <c r="K39" s="21">
        <f t="shared" si="24"/>
        <v>0</v>
      </c>
      <c r="L39" s="33" t="s">
        <v>227</v>
      </c>
      <c r="M39" s="35"/>
      <c r="Z39" s="38">
        <f t="shared" si="25"/>
        <v>0</v>
      </c>
      <c r="AB39" s="38">
        <f t="shared" si="26"/>
        <v>0</v>
      </c>
      <c r="AC39" s="38">
        <f t="shared" si="27"/>
        <v>0</v>
      </c>
      <c r="AD39" s="38">
        <f t="shared" si="28"/>
        <v>0</v>
      </c>
      <c r="AE39" s="38">
        <f t="shared" si="29"/>
        <v>0</v>
      </c>
      <c r="AF39" s="38">
        <f t="shared" si="30"/>
        <v>0</v>
      </c>
      <c r="AG39" s="38">
        <f t="shared" si="31"/>
        <v>0</v>
      </c>
      <c r="AH39" s="38">
        <f t="shared" si="32"/>
        <v>0</v>
      </c>
      <c r="AI39" s="37"/>
      <c r="AJ39" s="21">
        <f t="shared" si="33"/>
        <v>0</v>
      </c>
      <c r="AK39" s="21">
        <f t="shared" si="34"/>
        <v>0</v>
      </c>
      <c r="AL39" s="21">
        <f t="shared" si="35"/>
        <v>0</v>
      </c>
      <c r="AN39" s="38">
        <v>21</v>
      </c>
      <c r="AO39" s="38">
        <f>H39*1</f>
        <v>0</v>
      </c>
      <c r="AP39" s="38">
        <f>H39*(1-1)</f>
        <v>0</v>
      </c>
      <c r="AQ39" s="40" t="s">
        <v>13</v>
      </c>
      <c r="AV39" s="38">
        <f t="shared" si="36"/>
        <v>0</v>
      </c>
      <c r="AW39" s="38">
        <f t="shared" si="37"/>
        <v>0</v>
      </c>
      <c r="AX39" s="38">
        <f t="shared" si="38"/>
        <v>0</v>
      </c>
      <c r="AY39" s="41" t="s">
        <v>242</v>
      </c>
      <c r="AZ39" s="41" t="s">
        <v>253</v>
      </c>
      <c r="BA39" s="37" t="s">
        <v>257</v>
      </c>
      <c r="BC39" s="38">
        <f t="shared" si="39"/>
        <v>0</v>
      </c>
      <c r="BD39" s="38">
        <f t="shared" si="40"/>
        <v>0</v>
      </c>
      <c r="BE39" s="38">
        <v>0</v>
      </c>
      <c r="BF39" s="38">
        <f>39</f>
        <v>39</v>
      </c>
      <c r="BH39" s="21">
        <f t="shared" si="41"/>
        <v>0</v>
      </c>
      <c r="BI39" s="21">
        <f t="shared" si="42"/>
        <v>0</v>
      </c>
      <c r="BJ39" s="21">
        <f t="shared" si="43"/>
        <v>0</v>
      </c>
      <c r="BK39" s="21" t="s">
        <v>264</v>
      </c>
      <c r="BL39" s="38">
        <v>713</v>
      </c>
    </row>
    <row r="40" spans="1:64" ht="12.75">
      <c r="A40" s="4" t="s">
        <v>29</v>
      </c>
      <c r="B40" s="13" t="s">
        <v>89</v>
      </c>
      <c r="C40" s="64" t="s">
        <v>158</v>
      </c>
      <c r="D40" s="65"/>
      <c r="E40" s="65"/>
      <c r="F40" s="13" t="s">
        <v>206</v>
      </c>
      <c r="G40" s="20">
        <v>148.4</v>
      </c>
      <c r="H40" s="20">
        <v>0</v>
      </c>
      <c r="I40" s="20">
        <f t="shared" si="22"/>
        <v>0</v>
      </c>
      <c r="J40" s="20">
        <f t="shared" si="23"/>
        <v>0</v>
      </c>
      <c r="K40" s="20">
        <f t="shared" si="24"/>
        <v>0</v>
      </c>
      <c r="L40" s="31" t="s">
        <v>227</v>
      </c>
      <c r="M40" s="35"/>
      <c r="Z40" s="38">
        <f t="shared" si="25"/>
        <v>0</v>
      </c>
      <c r="AB40" s="38">
        <f t="shared" si="26"/>
        <v>0</v>
      </c>
      <c r="AC40" s="38">
        <f t="shared" si="27"/>
        <v>0</v>
      </c>
      <c r="AD40" s="38">
        <f t="shared" si="28"/>
        <v>0</v>
      </c>
      <c r="AE40" s="38">
        <f t="shared" si="29"/>
        <v>0</v>
      </c>
      <c r="AF40" s="38">
        <f t="shared" si="30"/>
        <v>0</v>
      </c>
      <c r="AG40" s="38">
        <f t="shared" si="31"/>
        <v>0</v>
      </c>
      <c r="AH40" s="38">
        <f t="shared" si="32"/>
        <v>0</v>
      </c>
      <c r="AI40" s="37"/>
      <c r="AJ40" s="20">
        <f t="shared" si="33"/>
        <v>0</v>
      </c>
      <c r="AK40" s="20">
        <f t="shared" si="34"/>
        <v>0</v>
      </c>
      <c r="AL40" s="20">
        <f t="shared" si="35"/>
        <v>0</v>
      </c>
      <c r="AN40" s="38">
        <v>21</v>
      </c>
      <c r="AO40" s="38">
        <f>H40*0.728140703517588</f>
        <v>0</v>
      </c>
      <c r="AP40" s="38">
        <f>H40*(1-0.728140703517588)</f>
        <v>0</v>
      </c>
      <c r="AQ40" s="39" t="s">
        <v>13</v>
      </c>
      <c r="AV40" s="38">
        <f t="shared" si="36"/>
        <v>0</v>
      </c>
      <c r="AW40" s="38">
        <f t="shared" si="37"/>
        <v>0</v>
      </c>
      <c r="AX40" s="38">
        <f t="shared" si="38"/>
        <v>0</v>
      </c>
      <c r="AY40" s="41" t="s">
        <v>242</v>
      </c>
      <c r="AZ40" s="41" t="s">
        <v>253</v>
      </c>
      <c r="BA40" s="37" t="s">
        <v>257</v>
      </c>
      <c r="BC40" s="38">
        <f t="shared" si="39"/>
        <v>0</v>
      </c>
      <c r="BD40" s="38">
        <f t="shared" si="40"/>
        <v>0</v>
      </c>
      <c r="BE40" s="38">
        <v>0</v>
      </c>
      <c r="BF40" s="38">
        <f>40</f>
        <v>40</v>
      </c>
      <c r="BH40" s="20">
        <f t="shared" si="41"/>
        <v>0</v>
      </c>
      <c r="BI40" s="20">
        <f t="shared" si="42"/>
        <v>0</v>
      </c>
      <c r="BJ40" s="20">
        <f t="shared" si="43"/>
        <v>0</v>
      </c>
      <c r="BK40" s="20" t="s">
        <v>263</v>
      </c>
      <c r="BL40" s="38">
        <v>713</v>
      </c>
    </row>
    <row r="41" spans="1:64" ht="12.75">
      <c r="A41" s="4" t="s">
        <v>30</v>
      </c>
      <c r="B41" s="13" t="s">
        <v>90</v>
      </c>
      <c r="C41" s="64" t="s">
        <v>159</v>
      </c>
      <c r="D41" s="65"/>
      <c r="E41" s="65"/>
      <c r="F41" s="13" t="s">
        <v>205</v>
      </c>
      <c r="G41" s="20">
        <v>0.5732</v>
      </c>
      <c r="H41" s="20">
        <v>0</v>
      </c>
      <c r="I41" s="20">
        <f t="shared" si="22"/>
        <v>0</v>
      </c>
      <c r="J41" s="20">
        <f t="shared" si="23"/>
        <v>0</v>
      </c>
      <c r="K41" s="20">
        <f t="shared" si="24"/>
        <v>0</v>
      </c>
      <c r="L41" s="31" t="s">
        <v>227</v>
      </c>
      <c r="M41" s="35"/>
      <c r="Z41" s="38">
        <f t="shared" si="25"/>
        <v>0</v>
      </c>
      <c r="AB41" s="38">
        <f t="shared" si="26"/>
        <v>0</v>
      </c>
      <c r="AC41" s="38">
        <f t="shared" si="27"/>
        <v>0</v>
      </c>
      <c r="AD41" s="38">
        <f t="shared" si="28"/>
        <v>0</v>
      </c>
      <c r="AE41" s="38">
        <f t="shared" si="29"/>
        <v>0</v>
      </c>
      <c r="AF41" s="38">
        <f t="shared" si="30"/>
        <v>0</v>
      </c>
      <c r="AG41" s="38">
        <f t="shared" si="31"/>
        <v>0</v>
      </c>
      <c r="AH41" s="38">
        <f t="shared" si="32"/>
        <v>0</v>
      </c>
      <c r="AI41" s="37"/>
      <c r="AJ41" s="20">
        <f t="shared" si="33"/>
        <v>0</v>
      </c>
      <c r="AK41" s="20">
        <f t="shared" si="34"/>
        <v>0</v>
      </c>
      <c r="AL41" s="20">
        <f t="shared" si="35"/>
        <v>0</v>
      </c>
      <c r="AN41" s="38">
        <v>21</v>
      </c>
      <c r="AO41" s="38">
        <f>H41*0</f>
        <v>0</v>
      </c>
      <c r="AP41" s="38">
        <f>H41*(1-0)</f>
        <v>0</v>
      </c>
      <c r="AQ41" s="39" t="s">
        <v>11</v>
      </c>
      <c r="AV41" s="38">
        <f t="shared" si="36"/>
        <v>0</v>
      </c>
      <c r="AW41" s="38">
        <f t="shared" si="37"/>
        <v>0</v>
      </c>
      <c r="AX41" s="38">
        <f t="shared" si="38"/>
        <v>0</v>
      </c>
      <c r="AY41" s="41" t="s">
        <v>242</v>
      </c>
      <c r="AZ41" s="41" t="s">
        <v>253</v>
      </c>
      <c r="BA41" s="37" t="s">
        <v>257</v>
      </c>
      <c r="BC41" s="38">
        <f t="shared" si="39"/>
        <v>0</v>
      </c>
      <c r="BD41" s="38">
        <f t="shared" si="40"/>
        <v>0</v>
      </c>
      <c r="BE41" s="38">
        <v>0</v>
      </c>
      <c r="BF41" s="38">
        <f>41</f>
        <v>41</v>
      </c>
      <c r="BH41" s="20">
        <f t="shared" si="41"/>
        <v>0</v>
      </c>
      <c r="BI41" s="20">
        <f t="shared" si="42"/>
        <v>0</v>
      </c>
      <c r="BJ41" s="20">
        <f t="shared" si="43"/>
        <v>0</v>
      </c>
      <c r="BK41" s="20" t="s">
        <v>263</v>
      </c>
      <c r="BL41" s="38">
        <v>713</v>
      </c>
    </row>
    <row r="42" spans="1:47" ht="12.75">
      <c r="A42" s="5"/>
      <c r="B42" s="14" t="s">
        <v>91</v>
      </c>
      <c r="C42" s="72" t="s">
        <v>160</v>
      </c>
      <c r="D42" s="73"/>
      <c r="E42" s="73"/>
      <c r="F42" s="18" t="s">
        <v>6</v>
      </c>
      <c r="G42" s="18" t="s">
        <v>6</v>
      </c>
      <c r="H42" s="18" t="s">
        <v>6</v>
      </c>
      <c r="I42" s="44">
        <f>SUM(I43:I43)</f>
        <v>0</v>
      </c>
      <c r="J42" s="44">
        <f>SUM(J43:J43)</f>
        <v>0</v>
      </c>
      <c r="K42" s="44">
        <f>SUM(K43:K43)</f>
        <v>0</v>
      </c>
      <c r="L42" s="32"/>
      <c r="M42" s="35"/>
      <c r="AI42" s="37"/>
      <c r="AS42" s="44">
        <f>SUM(AJ43:AJ43)</f>
        <v>0</v>
      </c>
      <c r="AT42" s="44">
        <f>SUM(AK43:AK43)</f>
        <v>0</v>
      </c>
      <c r="AU42" s="44">
        <f>SUM(AL43:AL43)</f>
        <v>0</v>
      </c>
    </row>
    <row r="43" spans="1:64" ht="12.75">
      <c r="A43" s="4" t="s">
        <v>31</v>
      </c>
      <c r="B43" s="13" t="s">
        <v>92</v>
      </c>
      <c r="C43" s="64" t="s">
        <v>161</v>
      </c>
      <c r="D43" s="65"/>
      <c r="E43" s="65"/>
      <c r="F43" s="13" t="s">
        <v>207</v>
      </c>
      <c r="G43" s="20">
        <v>1</v>
      </c>
      <c r="H43" s="20">
        <v>0</v>
      </c>
      <c r="I43" s="20">
        <f>G43*AO43</f>
        <v>0</v>
      </c>
      <c r="J43" s="20">
        <f>G43*AP43</f>
        <v>0</v>
      </c>
      <c r="K43" s="20">
        <f>G43*H43</f>
        <v>0</v>
      </c>
      <c r="L43" s="31" t="s">
        <v>227</v>
      </c>
      <c r="M43" s="35"/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7"/>
      <c r="AJ43" s="20">
        <f>IF(AN43=0,K43,0)</f>
        <v>0</v>
      </c>
      <c r="AK43" s="20">
        <f>IF(AN43=15,K43,0)</f>
        <v>0</v>
      </c>
      <c r="AL43" s="20">
        <f>IF(AN43=21,K43,0)</f>
        <v>0</v>
      </c>
      <c r="AN43" s="38">
        <v>21</v>
      </c>
      <c r="AO43" s="38">
        <f>H43*0.874295774647887</f>
        <v>0</v>
      </c>
      <c r="AP43" s="38">
        <f>H43*(1-0.874295774647887)</f>
        <v>0</v>
      </c>
      <c r="AQ43" s="39" t="s">
        <v>13</v>
      </c>
      <c r="AV43" s="38">
        <f>AW43+AX43</f>
        <v>0</v>
      </c>
      <c r="AW43" s="38">
        <f>G43*AO43</f>
        <v>0</v>
      </c>
      <c r="AX43" s="38">
        <f>G43*AP43</f>
        <v>0</v>
      </c>
      <c r="AY43" s="41" t="s">
        <v>243</v>
      </c>
      <c r="AZ43" s="41" t="s">
        <v>254</v>
      </c>
      <c r="BA43" s="37" t="s">
        <v>257</v>
      </c>
      <c r="BC43" s="38">
        <f>AW43+AX43</f>
        <v>0</v>
      </c>
      <c r="BD43" s="38">
        <f>H43/(100-BE43)*100</f>
        <v>0</v>
      </c>
      <c r="BE43" s="38">
        <v>0</v>
      </c>
      <c r="BF43" s="38">
        <f>43</f>
        <v>43</v>
      </c>
      <c r="BH43" s="20">
        <f>G43*AO43</f>
        <v>0</v>
      </c>
      <c r="BI43" s="20">
        <f>G43*AP43</f>
        <v>0</v>
      </c>
      <c r="BJ43" s="20">
        <f>G43*H43</f>
        <v>0</v>
      </c>
      <c r="BK43" s="20" t="s">
        <v>263</v>
      </c>
      <c r="BL43" s="38">
        <v>721</v>
      </c>
    </row>
    <row r="44" spans="1:47" ht="12.75">
      <c r="A44" s="5"/>
      <c r="B44" s="14" t="s">
        <v>93</v>
      </c>
      <c r="C44" s="72" t="s">
        <v>162</v>
      </c>
      <c r="D44" s="73"/>
      <c r="E44" s="73"/>
      <c r="F44" s="18" t="s">
        <v>6</v>
      </c>
      <c r="G44" s="18" t="s">
        <v>6</v>
      </c>
      <c r="H44" s="18" t="s">
        <v>6</v>
      </c>
      <c r="I44" s="44">
        <f>SUM(I45:I49)</f>
        <v>0</v>
      </c>
      <c r="J44" s="44">
        <f>SUM(J45:J49)</f>
        <v>0</v>
      </c>
      <c r="K44" s="44">
        <f>SUM(K45:K49)</f>
        <v>0</v>
      </c>
      <c r="L44" s="32"/>
      <c r="M44" s="35"/>
      <c r="AI44" s="37"/>
      <c r="AS44" s="44">
        <f>SUM(AJ45:AJ49)</f>
        <v>0</v>
      </c>
      <c r="AT44" s="44">
        <f>SUM(AK45:AK49)</f>
        <v>0</v>
      </c>
      <c r="AU44" s="44">
        <f>SUM(AL45:AL49)</f>
        <v>0</v>
      </c>
    </row>
    <row r="45" spans="1:64" ht="12.75">
      <c r="A45" s="4" t="s">
        <v>32</v>
      </c>
      <c r="B45" s="13" t="s">
        <v>94</v>
      </c>
      <c r="C45" s="64" t="s">
        <v>163</v>
      </c>
      <c r="D45" s="65"/>
      <c r="E45" s="65"/>
      <c r="F45" s="13" t="s">
        <v>206</v>
      </c>
      <c r="G45" s="20">
        <v>26</v>
      </c>
      <c r="H45" s="20">
        <v>0</v>
      </c>
      <c r="I45" s="20">
        <f>G45*AO45</f>
        <v>0</v>
      </c>
      <c r="J45" s="20">
        <f>G45*AP45</f>
        <v>0</v>
      </c>
      <c r="K45" s="20">
        <f>G45*H45</f>
        <v>0</v>
      </c>
      <c r="L45" s="31" t="s">
        <v>227</v>
      </c>
      <c r="M45" s="35"/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37"/>
      <c r="AJ45" s="20">
        <f>IF(AN45=0,K45,0)</f>
        <v>0</v>
      </c>
      <c r="AK45" s="20">
        <f>IF(AN45=15,K45,0)</f>
        <v>0</v>
      </c>
      <c r="AL45" s="20">
        <f>IF(AN45=21,K45,0)</f>
        <v>0</v>
      </c>
      <c r="AN45" s="38">
        <v>21</v>
      </c>
      <c r="AO45" s="38">
        <f>H45*0.0635793357933579</f>
        <v>0</v>
      </c>
      <c r="AP45" s="38">
        <f>H45*(1-0.0635793357933579)</f>
        <v>0</v>
      </c>
      <c r="AQ45" s="39" t="s">
        <v>13</v>
      </c>
      <c r="AV45" s="38">
        <f>AW45+AX45</f>
        <v>0</v>
      </c>
      <c r="AW45" s="38">
        <f>G45*AO45</f>
        <v>0</v>
      </c>
      <c r="AX45" s="38">
        <f>G45*AP45</f>
        <v>0</v>
      </c>
      <c r="AY45" s="41" t="s">
        <v>244</v>
      </c>
      <c r="AZ45" s="41" t="s">
        <v>255</v>
      </c>
      <c r="BA45" s="37" t="s">
        <v>257</v>
      </c>
      <c r="BC45" s="38">
        <f>AW45+AX45</f>
        <v>0</v>
      </c>
      <c r="BD45" s="38">
        <f>H45/(100-BE45)*100</f>
        <v>0</v>
      </c>
      <c r="BE45" s="38">
        <v>0</v>
      </c>
      <c r="BF45" s="38">
        <f>45</f>
        <v>45</v>
      </c>
      <c r="BH45" s="20">
        <f>G45*AO45</f>
        <v>0</v>
      </c>
      <c r="BI45" s="20">
        <f>G45*AP45</f>
        <v>0</v>
      </c>
      <c r="BJ45" s="20">
        <f>G45*H45</f>
        <v>0</v>
      </c>
      <c r="BK45" s="20" t="s">
        <v>263</v>
      </c>
      <c r="BL45" s="38">
        <v>762</v>
      </c>
    </row>
    <row r="46" spans="1:64" ht="12.75">
      <c r="A46" s="6" t="s">
        <v>33</v>
      </c>
      <c r="B46" s="15" t="s">
        <v>95</v>
      </c>
      <c r="C46" s="74" t="s">
        <v>164</v>
      </c>
      <c r="D46" s="75"/>
      <c r="E46" s="75"/>
      <c r="F46" s="15" t="s">
        <v>206</v>
      </c>
      <c r="G46" s="21">
        <v>29</v>
      </c>
      <c r="H46" s="21">
        <v>0</v>
      </c>
      <c r="I46" s="21">
        <f>G46*AO46</f>
        <v>0</v>
      </c>
      <c r="J46" s="21">
        <f>G46*AP46</f>
        <v>0</v>
      </c>
      <c r="K46" s="21">
        <f>G46*H46</f>
        <v>0</v>
      </c>
      <c r="L46" s="33" t="s">
        <v>227</v>
      </c>
      <c r="M46" s="35"/>
      <c r="Z46" s="38">
        <f>IF(AQ46="5",BJ46,0)</f>
        <v>0</v>
      </c>
      <c r="AB46" s="38">
        <f>IF(AQ46="1",BH46,0)</f>
        <v>0</v>
      </c>
      <c r="AC46" s="38">
        <f>IF(AQ46="1",BI46,0)</f>
        <v>0</v>
      </c>
      <c r="AD46" s="38">
        <f>IF(AQ46="7",BH46,0)</f>
        <v>0</v>
      </c>
      <c r="AE46" s="38">
        <f>IF(AQ46="7",BI46,0)</f>
        <v>0</v>
      </c>
      <c r="AF46" s="38">
        <f>IF(AQ46="2",BH46,0)</f>
        <v>0</v>
      </c>
      <c r="AG46" s="38">
        <f>IF(AQ46="2",BI46,0)</f>
        <v>0</v>
      </c>
      <c r="AH46" s="38">
        <f>IF(AQ46="0",BJ46,0)</f>
        <v>0</v>
      </c>
      <c r="AI46" s="37"/>
      <c r="AJ46" s="21">
        <f>IF(AN46=0,K46,0)</f>
        <v>0</v>
      </c>
      <c r="AK46" s="21">
        <f>IF(AN46=15,K46,0)</f>
        <v>0</v>
      </c>
      <c r="AL46" s="21">
        <f>IF(AN46=21,K46,0)</f>
        <v>0</v>
      </c>
      <c r="AN46" s="38">
        <v>21</v>
      </c>
      <c r="AO46" s="38">
        <f>H46*1</f>
        <v>0</v>
      </c>
      <c r="AP46" s="38">
        <f>H46*(1-1)</f>
        <v>0</v>
      </c>
      <c r="AQ46" s="40" t="s">
        <v>13</v>
      </c>
      <c r="AV46" s="38">
        <f>AW46+AX46</f>
        <v>0</v>
      </c>
      <c r="AW46" s="38">
        <f>G46*AO46</f>
        <v>0</v>
      </c>
      <c r="AX46" s="38">
        <f>G46*AP46</f>
        <v>0</v>
      </c>
      <c r="AY46" s="41" t="s">
        <v>244</v>
      </c>
      <c r="AZ46" s="41" t="s">
        <v>255</v>
      </c>
      <c r="BA46" s="37" t="s">
        <v>257</v>
      </c>
      <c r="BC46" s="38">
        <f>AW46+AX46</f>
        <v>0</v>
      </c>
      <c r="BD46" s="38">
        <f>H46/(100-BE46)*100</f>
        <v>0</v>
      </c>
      <c r="BE46" s="38">
        <v>0</v>
      </c>
      <c r="BF46" s="38">
        <f>46</f>
        <v>46</v>
      </c>
      <c r="BH46" s="21">
        <f>G46*AO46</f>
        <v>0</v>
      </c>
      <c r="BI46" s="21">
        <f>G46*AP46</f>
        <v>0</v>
      </c>
      <c r="BJ46" s="21">
        <f>G46*H46</f>
        <v>0</v>
      </c>
      <c r="BK46" s="21" t="s">
        <v>264</v>
      </c>
      <c r="BL46" s="38">
        <v>762</v>
      </c>
    </row>
    <row r="47" spans="1:64" ht="12.75">
      <c r="A47" s="4" t="s">
        <v>34</v>
      </c>
      <c r="B47" s="13" t="s">
        <v>96</v>
      </c>
      <c r="C47" s="64" t="s">
        <v>165</v>
      </c>
      <c r="D47" s="65"/>
      <c r="E47" s="65"/>
      <c r="F47" s="13" t="s">
        <v>205</v>
      </c>
      <c r="G47" s="20">
        <v>0.42972</v>
      </c>
      <c r="H47" s="20">
        <v>0</v>
      </c>
      <c r="I47" s="20">
        <f>G47*AO47</f>
        <v>0</v>
      </c>
      <c r="J47" s="20">
        <f>G47*AP47</f>
        <v>0</v>
      </c>
      <c r="K47" s="20">
        <f>G47*H47</f>
        <v>0</v>
      </c>
      <c r="L47" s="31" t="s">
        <v>227</v>
      </c>
      <c r="M47" s="35"/>
      <c r="Z47" s="38">
        <f>IF(AQ47="5",BJ47,0)</f>
        <v>0</v>
      </c>
      <c r="AB47" s="38">
        <f>IF(AQ47="1",BH47,0)</f>
        <v>0</v>
      </c>
      <c r="AC47" s="38">
        <f>IF(AQ47="1",BI47,0)</f>
        <v>0</v>
      </c>
      <c r="AD47" s="38">
        <f>IF(AQ47="7",BH47,0)</f>
        <v>0</v>
      </c>
      <c r="AE47" s="38">
        <f>IF(AQ47="7",BI47,0)</f>
        <v>0</v>
      </c>
      <c r="AF47" s="38">
        <f>IF(AQ47="2",BH47,0)</f>
        <v>0</v>
      </c>
      <c r="AG47" s="38">
        <f>IF(AQ47="2",BI47,0)</f>
        <v>0</v>
      </c>
      <c r="AH47" s="38">
        <f>IF(AQ47="0",BJ47,0)</f>
        <v>0</v>
      </c>
      <c r="AI47" s="37"/>
      <c r="AJ47" s="20">
        <f>IF(AN47=0,K47,0)</f>
        <v>0</v>
      </c>
      <c r="AK47" s="20">
        <f>IF(AN47=15,K47,0)</f>
        <v>0</v>
      </c>
      <c r="AL47" s="20">
        <f>IF(AN47=21,K47,0)</f>
        <v>0</v>
      </c>
      <c r="AN47" s="38">
        <v>21</v>
      </c>
      <c r="AO47" s="38">
        <f>H47*0</f>
        <v>0</v>
      </c>
      <c r="AP47" s="38">
        <f>H47*(1-0)</f>
        <v>0</v>
      </c>
      <c r="AQ47" s="39" t="s">
        <v>11</v>
      </c>
      <c r="AV47" s="38">
        <f>AW47+AX47</f>
        <v>0</v>
      </c>
      <c r="AW47" s="38">
        <f>G47*AO47</f>
        <v>0</v>
      </c>
      <c r="AX47" s="38">
        <f>G47*AP47</f>
        <v>0</v>
      </c>
      <c r="AY47" s="41" t="s">
        <v>244</v>
      </c>
      <c r="AZ47" s="41" t="s">
        <v>255</v>
      </c>
      <c r="BA47" s="37" t="s">
        <v>257</v>
      </c>
      <c r="BC47" s="38">
        <f>AW47+AX47</f>
        <v>0</v>
      </c>
      <c r="BD47" s="38">
        <f>H47/(100-BE47)*100</f>
        <v>0</v>
      </c>
      <c r="BE47" s="38">
        <v>0</v>
      </c>
      <c r="BF47" s="38">
        <f>47</f>
        <v>47</v>
      </c>
      <c r="BH47" s="20">
        <f>G47*AO47</f>
        <v>0</v>
      </c>
      <c r="BI47" s="20">
        <f>G47*AP47</f>
        <v>0</v>
      </c>
      <c r="BJ47" s="20">
        <f>G47*H47</f>
        <v>0</v>
      </c>
      <c r="BK47" s="20" t="s">
        <v>263</v>
      </c>
      <c r="BL47" s="38">
        <v>762</v>
      </c>
    </row>
    <row r="48" spans="1:64" ht="12.75">
      <c r="A48" s="6" t="s">
        <v>35</v>
      </c>
      <c r="B48" s="15" t="s">
        <v>97</v>
      </c>
      <c r="C48" s="74" t="s">
        <v>166</v>
      </c>
      <c r="D48" s="75"/>
      <c r="E48" s="75"/>
      <c r="F48" s="15" t="s">
        <v>209</v>
      </c>
      <c r="G48" s="21">
        <v>1</v>
      </c>
      <c r="H48" s="21">
        <v>0</v>
      </c>
      <c r="I48" s="21">
        <f>G48*AO48</f>
        <v>0</v>
      </c>
      <c r="J48" s="21">
        <f>G48*AP48</f>
        <v>0</v>
      </c>
      <c r="K48" s="21">
        <f>G48*H48</f>
        <v>0</v>
      </c>
      <c r="L48" s="33" t="s">
        <v>227</v>
      </c>
      <c r="M48" s="35"/>
      <c r="Z48" s="38">
        <f>IF(AQ48="5",BJ48,0)</f>
        <v>0</v>
      </c>
      <c r="AB48" s="38">
        <f>IF(AQ48="1",BH48,0)</f>
        <v>0</v>
      </c>
      <c r="AC48" s="38">
        <f>IF(AQ48="1",BI48,0)</f>
        <v>0</v>
      </c>
      <c r="AD48" s="38">
        <f>IF(AQ48="7",BH48,0)</f>
        <v>0</v>
      </c>
      <c r="AE48" s="38">
        <f>IF(AQ48="7",BI48,0)</f>
        <v>0</v>
      </c>
      <c r="AF48" s="38">
        <f>IF(AQ48="2",BH48,0)</f>
        <v>0</v>
      </c>
      <c r="AG48" s="38">
        <f>IF(AQ48="2",BI48,0)</f>
        <v>0</v>
      </c>
      <c r="AH48" s="38">
        <f>IF(AQ48="0",BJ48,0)</f>
        <v>0</v>
      </c>
      <c r="AI48" s="37"/>
      <c r="AJ48" s="21">
        <f>IF(AN48=0,K48,0)</f>
        <v>0</v>
      </c>
      <c r="AK48" s="21">
        <f>IF(AN48=15,K48,0)</f>
        <v>0</v>
      </c>
      <c r="AL48" s="21">
        <f>IF(AN48=21,K48,0)</f>
        <v>0</v>
      </c>
      <c r="AN48" s="38">
        <v>21</v>
      </c>
      <c r="AO48" s="38">
        <f>H48*1</f>
        <v>0</v>
      </c>
      <c r="AP48" s="38">
        <f>H48*(1-1)</f>
        <v>0</v>
      </c>
      <c r="AQ48" s="40" t="s">
        <v>13</v>
      </c>
      <c r="AV48" s="38">
        <f>AW48+AX48</f>
        <v>0</v>
      </c>
      <c r="AW48" s="38">
        <f>G48*AO48</f>
        <v>0</v>
      </c>
      <c r="AX48" s="38">
        <f>G48*AP48</f>
        <v>0</v>
      </c>
      <c r="AY48" s="41" t="s">
        <v>244</v>
      </c>
      <c r="AZ48" s="41" t="s">
        <v>255</v>
      </c>
      <c r="BA48" s="37" t="s">
        <v>257</v>
      </c>
      <c r="BC48" s="38">
        <f>AW48+AX48</f>
        <v>0</v>
      </c>
      <c r="BD48" s="38">
        <f>H48/(100-BE48)*100</f>
        <v>0</v>
      </c>
      <c r="BE48" s="38">
        <v>0</v>
      </c>
      <c r="BF48" s="38">
        <f>48</f>
        <v>48</v>
      </c>
      <c r="BH48" s="21">
        <f>G48*AO48</f>
        <v>0</v>
      </c>
      <c r="BI48" s="21">
        <f>G48*AP48</f>
        <v>0</v>
      </c>
      <c r="BJ48" s="21">
        <f>G48*H48</f>
        <v>0</v>
      </c>
      <c r="BK48" s="21" t="s">
        <v>264</v>
      </c>
      <c r="BL48" s="38">
        <v>762</v>
      </c>
    </row>
    <row r="49" spans="1:64" ht="12.75">
      <c r="A49" s="6" t="s">
        <v>36</v>
      </c>
      <c r="B49" s="15" t="s">
        <v>98</v>
      </c>
      <c r="C49" s="74" t="s">
        <v>167</v>
      </c>
      <c r="D49" s="75"/>
      <c r="E49" s="75"/>
      <c r="F49" s="15" t="s">
        <v>209</v>
      </c>
      <c r="G49" s="21">
        <v>1</v>
      </c>
      <c r="H49" s="21">
        <v>0</v>
      </c>
      <c r="I49" s="21">
        <f>G49*AO49</f>
        <v>0</v>
      </c>
      <c r="J49" s="21">
        <f>G49*AP49</f>
        <v>0</v>
      </c>
      <c r="K49" s="21">
        <f>G49*H49</f>
        <v>0</v>
      </c>
      <c r="L49" s="33" t="s">
        <v>227</v>
      </c>
      <c r="M49" s="35"/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37"/>
      <c r="AJ49" s="21">
        <f>IF(AN49=0,K49,0)</f>
        <v>0</v>
      </c>
      <c r="AK49" s="21">
        <f>IF(AN49=15,K49,0)</f>
        <v>0</v>
      </c>
      <c r="AL49" s="21">
        <f>IF(AN49=21,K49,0)</f>
        <v>0</v>
      </c>
      <c r="AN49" s="38">
        <v>21</v>
      </c>
      <c r="AO49" s="38">
        <f>H49*1</f>
        <v>0</v>
      </c>
      <c r="AP49" s="38">
        <f>H49*(1-1)</f>
        <v>0</v>
      </c>
      <c r="AQ49" s="40" t="s">
        <v>13</v>
      </c>
      <c r="AV49" s="38">
        <f>AW49+AX49</f>
        <v>0</v>
      </c>
      <c r="AW49" s="38">
        <f>G49*AO49</f>
        <v>0</v>
      </c>
      <c r="AX49" s="38">
        <f>G49*AP49</f>
        <v>0</v>
      </c>
      <c r="AY49" s="41" t="s">
        <v>244</v>
      </c>
      <c r="AZ49" s="41" t="s">
        <v>255</v>
      </c>
      <c r="BA49" s="37" t="s">
        <v>257</v>
      </c>
      <c r="BC49" s="38">
        <f>AW49+AX49</f>
        <v>0</v>
      </c>
      <c r="BD49" s="38">
        <f>H49/(100-BE49)*100</f>
        <v>0</v>
      </c>
      <c r="BE49" s="38">
        <v>0</v>
      </c>
      <c r="BF49" s="38">
        <f>49</f>
        <v>49</v>
      </c>
      <c r="BH49" s="21">
        <f>G49*AO49</f>
        <v>0</v>
      </c>
      <c r="BI49" s="21">
        <f>G49*AP49</f>
        <v>0</v>
      </c>
      <c r="BJ49" s="21">
        <f>G49*H49</f>
        <v>0</v>
      </c>
      <c r="BK49" s="21" t="s">
        <v>264</v>
      </c>
      <c r="BL49" s="38">
        <v>762</v>
      </c>
    </row>
    <row r="50" spans="1:47" ht="12.75">
      <c r="A50" s="5"/>
      <c r="B50" s="14" t="s">
        <v>99</v>
      </c>
      <c r="C50" s="72" t="s">
        <v>168</v>
      </c>
      <c r="D50" s="73"/>
      <c r="E50" s="73"/>
      <c r="F50" s="18" t="s">
        <v>6</v>
      </c>
      <c r="G50" s="18" t="s">
        <v>6</v>
      </c>
      <c r="H50" s="18" t="s">
        <v>6</v>
      </c>
      <c r="I50" s="44">
        <f>SUM(I51:I62)</f>
        <v>0</v>
      </c>
      <c r="J50" s="44">
        <f>SUM(J51:J62)</f>
        <v>0</v>
      </c>
      <c r="K50" s="44">
        <f>SUM(K51:K62)</f>
        <v>0</v>
      </c>
      <c r="L50" s="32"/>
      <c r="M50" s="35"/>
      <c r="AI50" s="37"/>
      <c r="AS50" s="44">
        <f>SUM(AJ51:AJ62)</f>
        <v>0</v>
      </c>
      <c r="AT50" s="44">
        <f>SUM(AK51:AK62)</f>
        <v>0</v>
      </c>
      <c r="AU50" s="44">
        <f>SUM(AL51:AL62)</f>
        <v>0</v>
      </c>
    </row>
    <row r="51" spans="1:64" ht="12.75">
      <c r="A51" s="4" t="s">
        <v>37</v>
      </c>
      <c r="B51" s="13" t="s">
        <v>100</v>
      </c>
      <c r="C51" s="64" t="s">
        <v>169</v>
      </c>
      <c r="D51" s="65"/>
      <c r="E51" s="65"/>
      <c r="F51" s="13" t="s">
        <v>204</v>
      </c>
      <c r="G51" s="20">
        <v>70.362</v>
      </c>
      <c r="H51" s="20">
        <v>0</v>
      </c>
      <c r="I51" s="20">
        <f aca="true" t="shared" si="44" ref="I51:I62">G51*AO51</f>
        <v>0</v>
      </c>
      <c r="J51" s="20">
        <f aca="true" t="shared" si="45" ref="J51:J62">G51*AP51</f>
        <v>0</v>
      </c>
      <c r="K51" s="20">
        <f aca="true" t="shared" si="46" ref="K51:K62">G51*H51</f>
        <v>0</v>
      </c>
      <c r="L51" s="31" t="s">
        <v>227</v>
      </c>
      <c r="M51" s="35"/>
      <c r="Z51" s="38">
        <f aca="true" t="shared" si="47" ref="Z51:Z62">IF(AQ51="5",BJ51,0)</f>
        <v>0</v>
      </c>
      <c r="AB51" s="38">
        <f aca="true" t="shared" si="48" ref="AB51:AB62">IF(AQ51="1",BH51,0)</f>
        <v>0</v>
      </c>
      <c r="AC51" s="38">
        <f aca="true" t="shared" si="49" ref="AC51:AC62">IF(AQ51="1",BI51,0)</f>
        <v>0</v>
      </c>
      <c r="AD51" s="38">
        <f aca="true" t="shared" si="50" ref="AD51:AD62">IF(AQ51="7",BH51,0)</f>
        <v>0</v>
      </c>
      <c r="AE51" s="38">
        <f aca="true" t="shared" si="51" ref="AE51:AE62">IF(AQ51="7",BI51,0)</f>
        <v>0</v>
      </c>
      <c r="AF51" s="38">
        <f aca="true" t="shared" si="52" ref="AF51:AF62">IF(AQ51="2",BH51,0)</f>
        <v>0</v>
      </c>
      <c r="AG51" s="38">
        <f aca="true" t="shared" si="53" ref="AG51:AG62">IF(AQ51="2",BI51,0)</f>
        <v>0</v>
      </c>
      <c r="AH51" s="38">
        <f aca="true" t="shared" si="54" ref="AH51:AH62">IF(AQ51="0",BJ51,0)</f>
        <v>0</v>
      </c>
      <c r="AI51" s="37"/>
      <c r="AJ51" s="20">
        <f aca="true" t="shared" si="55" ref="AJ51:AJ62">IF(AN51=0,K51,0)</f>
        <v>0</v>
      </c>
      <c r="AK51" s="20">
        <f aca="true" t="shared" si="56" ref="AK51:AK62">IF(AN51=15,K51,0)</f>
        <v>0</v>
      </c>
      <c r="AL51" s="20">
        <f aca="true" t="shared" si="57" ref="AL51:AL62">IF(AN51=21,K51,0)</f>
        <v>0</v>
      </c>
      <c r="AN51" s="38">
        <v>21</v>
      </c>
      <c r="AO51" s="38">
        <f>H51*0</f>
        <v>0</v>
      </c>
      <c r="AP51" s="38">
        <f>H51*(1-0)</f>
        <v>0</v>
      </c>
      <c r="AQ51" s="39" t="s">
        <v>13</v>
      </c>
      <c r="AV51" s="38">
        <f aca="true" t="shared" si="58" ref="AV51:AV62">AW51+AX51</f>
        <v>0</v>
      </c>
      <c r="AW51" s="38">
        <f aca="true" t="shared" si="59" ref="AW51:AW62">G51*AO51</f>
        <v>0</v>
      </c>
      <c r="AX51" s="38">
        <f aca="true" t="shared" si="60" ref="AX51:AX62">G51*AP51</f>
        <v>0</v>
      </c>
      <c r="AY51" s="41" t="s">
        <v>245</v>
      </c>
      <c r="AZ51" s="41" t="s">
        <v>255</v>
      </c>
      <c r="BA51" s="37" t="s">
        <v>257</v>
      </c>
      <c r="BC51" s="38">
        <f aca="true" t="shared" si="61" ref="BC51:BC62">AW51+AX51</f>
        <v>0</v>
      </c>
      <c r="BD51" s="38">
        <f aca="true" t="shared" si="62" ref="BD51:BD62">H51/(100-BE51)*100</f>
        <v>0</v>
      </c>
      <c r="BE51" s="38">
        <v>0</v>
      </c>
      <c r="BF51" s="38">
        <f>51</f>
        <v>51</v>
      </c>
      <c r="BH51" s="20">
        <f aca="true" t="shared" si="63" ref="BH51:BH62">G51*AO51</f>
        <v>0</v>
      </c>
      <c r="BI51" s="20">
        <f aca="true" t="shared" si="64" ref="BI51:BI62">G51*AP51</f>
        <v>0</v>
      </c>
      <c r="BJ51" s="20">
        <f aca="true" t="shared" si="65" ref="BJ51:BJ62">G51*H51</f>
        <v>0</v>
      </c>
      <c r="BK51" s="20" t="s">
        <v>263</v>
      </c>
      <c r="BL51" s="38">
        <v>764</v>
      </c>
    </row>
    <row r="52" spans="1:64" ht="12.75">
      <c r="A52" s="4" t="s">
        <v>38</v>
      </c>
      <c r="B52" s="13" t="s">
        <v>101</v>
      </c>
      <c r="C52" s="64" t="s">
        <v>170</v>
      </c>
      <c r="D52" s="65"/>
      <c r="E52" s="65"/>
      <c r="F52" s="13" t="s">
        <v>204</v>
      </c>
      <c r="G52" s="20">
        <v>16.5</v>
      </c>
      <c r="H52" s="20">
        <v>0</v>
      </c>
      <c r="I52" s="20">
        <f t="shared" si="44"/>
        <v>0</v>
      </c>
      <c r="J52" s="20">
        <f t="shared" si="45"/>
        <v>0</v>
      </c>
      <c r="K52" s="20">
        <f t="shared" si="46"/>
        <v>0</v>
      </c>
      <c r="L52" s="31" t="s">
        <v>227</v>
      </c>
      <c r="M52" s="35"/>
      <c r="Z52" s="38">
        <f t="shared" si="47"/>
        <v>0</v>
      </c>
      <c r="AB52" s="38">
        <f t="shared" si="48"/>
        <v>0</v>
      </c>
      <c r="AC52" s="38">
        <f t="shared" si="49"/>
        <v>0</v>
      </c>
      <c r="AD52" s="38">
        <f t="shared" si="50"/>
        <v>0</v>
      </c>
      <c r="AE52" s="38">
        <f t="shared" si="51"/>
        <v>0</v>
      </c>
      <c r="AF52" s="38">
        <f t="shared" si="52"/>
        <v>0</v>
      </c>
      <c r="AG52" s="38">
        <f t="shared" si="53"/>
        <v>0</v>
      </c>
      <c r="AH52" s="38">
        <f t="shared" si="54"/>
        <v>0</v>
      </c>
      <c r="AI52" s="37"/>
      <c r="AJ52" s="20">
        <f t="shared" si="55"/>
        <v>0</v>
      </c>
      <c r="AK52" s="20">
        <f t="shared" si="56"/>
        <v>0</v>
      </c>
      <c r="AL52" s="20">
        <f t="shared" si="57"/>
        <v>0</v>
      </c>
      <c r="AN52" s="38">
        <v>21</v>
      </c>
      <c r="AO52" s="38">
        <f>H52*0</f>
        <v>0</v>
      </c>
      <c r="AP52" s="38">
        <f>H52*(1-0)</f>
        <v>0</v>
      </c>
      <c r="AQ52" s="39" t="s">
        <v>13</v>
      </c>
      <c r="AV52" s="38">
        <f t="shared" si="58"/>
        <v>0</v>
      </c>
      <c r="AW52" s="38">
        <f t="shared" si="59"/>
        <v>0</v>
      </c>
      <c r="AX52" s="38">
        <f t="shared" si="60"/>
        <v>0</v>
      </c>
      <c r="AY52" s="41" t="s">
        <v>245</v>
      </c>
      <c r="AZ52" s="41" t="s">
        <v>255</v>
      </c>
      <c r="BA52" s="37" t="s">
        <v>257</v>
      </c>
      <c r="BC52" s="38">
        <f t="shared" si="61"/>
        <v>0</v>
      </c>
      <c r="BD52" s="38">
        <f t="shared" si="62"/>
        <v>0</v>
      </c>
      <c r="BE52" s="38">
        <v>0</v>
      </c>
      <c r="BF52" s="38">
        <f>52</f>
        <v>52</v>
      </c>
      <c r="BH52" s="20">
        <f t="shared" si="63"/>
        <v>0</v>
      </c>
      <c r="BI52" s="20">
        <f t="shared" si="64"/>
        <v>0</v>
      </c>
      <c r="BJ52" s="20">
        <f t="shared" si="65"/>
        <v>0</v>
      </c>
      <c r="BK52" s="20" t="s">
        <v>263</v>
      </c>
      <c r="BL52" s="38">
        <v>764</v>
      </c>
    </row>
    <row r="53" spans="1:64" ht="12.75">
      <c r="A53" s="4" t="s">
        <v>39</v>
      </c>
      <c r="B53" s="13" t="s">
        <v>102</v>
      </c>
      <c r="C53" s="64" t="s">
        <v>171</v>
      </c>
      <c r="D53" s="65"/>
      <c r="E53" s="65"/>
      <c r="F53" s="13" t="s">
        <v>207</v>
      </c>
      <c r="G53" s="20">
        <v>2</v>
      </c>
      <c r="H53" s="20">
        <v>0</v>
      </c>
      <c r="I53" s="20">
        <f t="shared" si="44"/>
        <v>0</v>
      </c>
      <c r="J53" s="20">
        <f t="shared" si="45"/>
        <v>0</v>
      </c>
      <c r="K53" s="20">
        <f t="shared" si="46"/>
        <v>0</v>
      </c>
      <c r="L53" s="31" t="s">
        <v>227</v>
      </c>
      <c r="M53" s="35"/>
      <c r="Z53" s="38">
        <f t="shared" si="47"/>
        <v>0</v>
      </c>
      <c r="AB53" s="38">
        <f t="shared" si="48"/>
        <v>0</v>
      </c>
      <c r="AC53" s="38">
        <f t="shared" si="49"/>
        <v>0</v>
      </c>
      <c r="AD53" s="38">
        <f t="shared" si="50"/>
        <v>0</v>
      </c>
      <c r="AE53" s="38">
        <f t="shared" si="51"/>
        <v>0</v>
      </c>
      <c r="AF53" s="38">
        <f t="shared" si="52"/>
        <v>0</v>
      </c>
      <c r="AG53" s="38">
        <f t="shared" si="53"/>
        <v>0</v>
      </c>
      <c r="AH53" s="38">
        <f t="shared" si="54"/>
        <v>0</v>
      </c>
      <c r="AI53" s="37"/>
      <c r="AJ53" s="20">
        <f t="shared" si="55"/>
        <v>0</v>
      </c>
      <c r="AK53" s="20">
        <f t="shared" si="56"/>
        <v>0</v>
      </c>
      <c r="AL53" s="20">
        <f t="shared" si="57"/>
        <v>0</v>
      </c>
      <c r="AN53" s="38">
        <v>21</v>
      </c>
      <c r="AO53" s="38">
        <f>H53*0</f>
        <v>0</v>
      </c>
      <c r="AP53" s="38">
        <f>H53*(1-0)</f>
        <v>0</v>
      </c>
      <c r="AQ53" s="39" t="s">
        <v>13</v>
      </c>
      <c r="AV53" s="38">
        <f t="shared" si="58"/>
        <v>0</v>
      </c>
      <c r="AW53" s="38">
        <f t="shared" si="59"/>
        <v>0</v>
      </c>
      <c r="AX53" s="38">
        <f t="shared" si="60"/>
        <v>0</v>
      </c>
      <c r="AY53" s="41" t="s">
        <v>245</v>
      </c>
      <c r="AZ53" s="41" t="s">
        <v>255</v>
      </c>
      <c r="BA53" s="37" t="s">
        <v>257</v>
      </c>
      <c r="BC53" s="38">
        <f t="shared" si="61"/>
        <v>0</v>
      </c>
      <c r="BD53" s="38">
        <f t="shared" si="62"/>
        <v>0</v>
      </c>
      <c r="BE53" s="38">
        <v>0</v>
      </c>
      <c r="BF53" s="38">
        <f>53</f>
        <v>53</v>
      </c>
      <c r="BH53" s="20">
        <f t="shared" si="63"/>
        <v>0</v>
      </c>
      <c r="BI53" s="20">
        <f t="shared" si="64"/>
        <v>0</v>
      </c>
      <c r="BJ53" s="20">
        <f t="shared" si="65"/>
        <v>0</v>
      </c>
      <c r="BK53" s="20" t="s">
        <v>263</v>
      </c>
      <c r="BL53" s="38">
        <v>764</v>
      </c>
    </row>
    <row r="54" spans="1:64" ht="12.75">
      <c r="A54" s="4" t="s">
        <v>40</v>
      </c>
      <c r="B54" s="13" t="s">
        <v>103</v>
      </c>
      <c r="C54" s="64" t="s">
        <v>172</v>
      </c>
      <c r="D54" s="65"/>
      <c r="E54" s="65"/>
      <c r="F54" s="13" t="s">
        <v>207</v>
      </c>
      <c r="G54" s="20">
        <v>2</v>
      </c>
      <c r="H54" s="20">
        <v>0</v>
      </c>
      <c r="I54" s="20">
        <f t="shared" si="44"/>
        <v>0</v>
      </c>
      <c r="J54" s="20">
        <f t="shared" si="45"/>
        <v>0</v>
      </c>
      <c r="K54" s="20">
        <f t="shared" si="46"/>
        <v>0</v>
      </c>
      <c r="L54" s="31" t="s">
        <v>227</v>
      </c>
      <c r="M54" s="35"/>
      <c r="Z54" s="38">
        <f t="shared" si="47"/>
        <v>0</v>
      </c>
      <c r="AB54" s="38">
        <f t="shared" si="48"/>
        <v>0</v>
      </c>
      <c r="AC54" s="38">
        <f t="shared" si="49"/>
        <v>0</v>
      </c>
      <c r="AD54" s="38">
        <f t="shared" si="50"/>
        <v>0</v>
      </c>
      <c r="AE54" s="38">
        <f t="shared" si="51"/>
        <v>0</v>
      </c>
      <c r="AF54" s="38">
        <f t="shared" si="52"/>
        <v>0</v>
      </c>
      <c r="AG54" s="38">
        <f t="shared" si="53"/>
        <v>0</v>
      </c>
      <c r="AH54" s="38">
        <f t="shared" si="54"/>
        <v>0</v>
      </c>
      <c r="AI54" s="37"/>
      <c r="AJ54" s="20">
        <f t="shared" si="55"/>
        <v>0</v>
      </c>
      <c r="AK54" s="20">
        <f t="shared" si="56"/>
        <v>0</v>
      </c>
      <c r="AL54" s="20">
        <f t="shared" si="57"/>
        <v>0</v>
      </c>
      <c r="AN54" s="38">
        <v>21</v>
      </c>
      <c r="AO54" s="38">
        <f>H54*0</f>
        <v>0</v>
      </c>
      <c r="AP54" s="38">
        <f>H54*(1-0)</f>
        <v>0</v>
      </c>
      <c r="AQ54" s="39" t="s">
        <v>13</v>
      </c>
      <c r="AV54" s="38">
        <f t="shared" si="58"/>
        <v>0</v>
      </c>
      <c r="AW54" s="38">
        <f t="shared" si="59"/>
        <v>0</v>
      </c>
      <c r="AX54" s="38">
        <f t="shared" si="60"/>
        <v>0</v>
      </c>
      <c r="AY54" s="41" t="s">
        <v>245</v>
      </c>
      <c r="AZ54" s="41" t="s">
        <v>255</v>
      </c>
      <c r="BA54" s="37" t="s">
        <v>257</v>
      </c>
      <c r="BC54" s="38">
        <f t="shared" si="61"/>
        <v>0</v>
      </c>
      <c r="BD54" s="38">
        <f t="shared" si="62"/>
        <v>0</v>
      </c>
      <c r="BE54" s="38">
        <v>0</v>
      </c>
      <c r="BF54" s="38">
        <f>54</f>
        <v>54</v>
      </c>
      <c r="BH54" s="20">
        <f t="shared" si="63"/>
        <v>0</v>
      </c>
      <c r="BI54" s="20">
        <f t="shared" si="64"/>
        <v>0</v>
      </c>
      <c r="BJ54" s="20">
        <f t="shared" si="65"/>
        <v>0</v>
      </c>
      <c r="BK54" s="20" t="s">
        <v>263</v>
      </c>
      <c r="BL54" s="38">
        <v>764</v>
      </c>
    </row>
    <row r="55" spans="1:64" ht="12.75">
      <c r="A55" s="4" t="s">
        <v>41</v>
      </c>
      <c r="B55" s="13" t="s">
        <v>104</v>
      </c>
      <c r="C55" s="64" t="s">
        <v>173</v>
      </c>
      <c r="D55" s="65"/>
      <c r="E55" s="65"/>
      <c r="F55" s="13" t="s">
        <v>204</v>
      </c>
      <c r="G55" s="20">
        <v>37.8</v>
      </c>
      <c r="H55" s="20">
        <v>0</v>
      </c>
      <c r="I55" s="20">
        <f t="shared" si="44"/>
        <v>0</v>
      </c>
      <c r="J55" s="20">
        <f t="shared" si="45"/>
        <v>0</v>
      </c>
      <c r="K55" s="20">
        <f t="shared" si="46"/>
        <v>0</v>
      </c>
      <c r="L55" s="31" t="s">
        <v>227</v>
      </c>
      <c r="M55" s="35"/>
      <c r="Z55" s="38">
        <f t="shared" si="47"/>
        <v>0</v>
      </c>
      <c r="AB55" s="38">
        <f t="shared" si="48"/>
        <v>0</v>
      </c>
      <c r="AC55" s="38">
        <f t="shared" si="49"/>
        <v>0</v>
      </c>
      <c r="AD55" s="38">
        <f t="shared" si="50"/>
        <v>0</v>
      </c>
      <c r="AE55" s="38">
        <f t="shared" si="51"/>
        <v>0</v>
      </c>
      <c r="AF55" s="38">
        <f t="shared" si="52"/>
        <v>0</v>
      </c>
      <c r="AG55" s="38">
        <f t="shared" si="53"/>
        <v>0</v>
      </c>
      <c r="AH55" s="38">
        <f t="shared" si="54"/>
        <v>0</v>
      </c>
      <c r="AI55" s="37"/>
      <c r="AJ55" s="20">
        <f t="shared" si="55"/>
        <v>0</v>
      </c>
      <c r="AK55" s="20">
        <f t="shared" si="56"/>
        <v>0</v>
      </c>
      <c r="AL55" s="20">
        <f t="shared" si="57"/>
        <v>0</v>
      </c>
      <c r="AN55" s="38">
        <v>21</v>
      </c>
      <c r="AO55" s="38">
        <f>H55*0</f>
        <v>0</v>
      </c>
      <c r="AP55" s="38">
        <f>H55*(1-0)</f>
        <v>0</v>
      </c>
      <c r="AQ55" s="39" t="s">
        <v>13</v>
      </c>
      <c r="AV55" s="38">
        <f t="shared" si="58"/>
        <v>0</v>
      </c>
      <c r="AW55" s="38">
        <f t="shared" si="59"/>
        <v>0</v>
      </c>
      <c r="AX55" s="38">
        <f t="shared" si="60"/>
        <v>0</v>
      </c>
      <c r="AY55" s="41" t="s">
        <v>245</v>
      </c>
      <c r="AZ55" s="41" t="s">
        <v>255</v>
      </c>
      <c r="BA55" s="37" t="s">
        <v>257</v>
      </c>
      <c r="BC55" s="38">
        <f t="shared" si="61"/>
        <v>0</v>
      </c>
      <c r="BD55" s="38">
        <f t="shared" si="62"/>
        <v>0</v>
      </c>
      <c r="BE55" s="38">
        <v>0</v>
      </c>
      <c r="BF55" s="38">
        <f>55</f>
        <v>55</v>
      </c>
      <c r="BH55" s="20">
        <f t="shared" si="63"/>
        <v>0</v>
      </c>
      <c r="BI55" s="20">
        <f t="shared" si="64"/>
        <v>0</v>
      </c>
      <c r="BJ55" s="20">
        <f t="shared" si="65"/>
        <v>0</v>
      </c>
      <c r="BK55" s="20" t="s">
        <v>263</v>
      </c>
      <c r="BL55" s="38">
        <v>764</v>
      </c>
    </row>
    <row r="56" spans="1:64" ht="12.75">
      <c r="A56" s="4" t="s">
        <v>42</v>
      </c>
      <c r="B56" s="13" t="s">
        <v>105</v>
      </c>
      <c r="C56" s="64" t="s">
        <v>174</v>
      </c>
      <c r="D56" s="65"/>
      <c r="E56" s="65"/>
      <c r="F56" s="13" t="s">
        <v>204</v>
      </c>
      <c r="G56" s="20">
        <v>65.15</v>
      </c>
      <c r="H56" s="20">
        <v>0</v>
      </c>
      <c r="I56" s="20">
        <f t="shared" si="44"/>
        <v>0</v>
      </c>
      <c r="J56" s="20">
        <f t="shared" si="45"/>
        <v>0</v>
      </c>
      <c r="K56" s="20">
        <f t="shared" si="46"/>
        <v>0</v>
      </c>
      <c r="L56" s="31" t="s">
        <v>227</v>
      </c>
      <c r="M56" s="35"/>
      <c r="Z56" s="38">
        <f t="shared" si="47"/>
        <v>0</v>
      </c>
      <c r="AB56" s="38">
        <f t="shared" si="48"/>
        <v>0</v>
      </c>
      <c r="AC56" s="38">
        <f t="shared" si="49"/>
        <v>0</v>
      </c>
      <c r="AD56" s="38">
        <f t="shared" si="50"/>
        <v>0</v>
      </c>
      <c r="AE56" s="38">
        <f t="shared" si="51"/>
        <v>0</v>
      </c>
      <c r="AF56" s="38">
        <f t="shared" si="52"/>
        <v>0</v>
      </c>
      <c r="AG56" s="38">
        <f t="shared" si="53"/>
        <v>0</v>
      </c>
      <c r="AH56" s="38">
        <f t="shared" si="54"/>
        <v>0</v>
      </c>
      <c r="AI56" s="37"/>
      <c r="AJ56" s="20">
        <f t="shared" si="55"/>
        <v>0</v>
      </c>
      <c r="AK56" s="20">
        <f t="shared" si="56"/>
        <v>0</v>
      </c>
      <c r="AL56" s="20">
        <f t="shared" si="57"/>
        <v>0</v>
      </c>
      <c r="AN56" s="38">
        <v>21</v>
      </c>
      <c r="AO56" s="38">
        <f>H56*0.434180497925311</f>
        <v>0</v>
      </c>
      <c r="AP56" s="38">
        <f>H56*(1-0.434180497925311)</f>
        <v>0</v>
      </c>
      <c r="AQ56" s="39" t="s">
        <v>13</v>
      </c>
      <c r="AV56" s="38">
        <f t="shared" si="58"/>
        <v>0</v>
      </c>
      <c r="AW56" s="38">
        <f t="shared" si="59"/>
        <v>0</v>
      </c>
      <c r="AX56" s="38">
        <f t="shared" si="60"/>
        <v>0</v>
      </c>
      <c r="AY56" s="41" t="s">
        <v>245</v>
      </c>
      <c r="AZ56" s="41" t="s">
        <v>255</v>
      </c>
      <c r="BA56" s="37" t="s">
        <v>257</v>
      </c>
      <c r="BC56" s="38">
        <f t="shared" si="61"/>
        <v>0</v>
      </c>
      <c r="BD56" s="38">
        <f t="shared" si="62"/>
        <v>0</v>
      </c>
      <c r="BE56" s="38">
        <v>0</v>
      </c>
      <c r="BF56" s="38">
        <f>56</f>
        <v>56</v>
      </c>
      <c r="BH56" s="20">
        <f t="shared" si="63"/>
        <v>0</v>
      </c>
      <c r="BI56" s="20">
        <f t="shared" si="64"/>
        <v>0</v>
      </c>
      <c r="BJ56" s="20">
        <f t="shared" si="65"/>
        <v>0</v>
      </c>
      <c r="BK56" s="20" t="s">
        <v>263</v>
      </c>
      <c r="BL56" s="38">
        <v>764</v>
      </c>
    </row>
    <row r="57" spans="1:64" ht="12.75">
      <c r="A57" s="4" t="s">
        <v>43</v>
      </c>
      <c r="B57" s="13" t="s">
        <v>106</v>
      </c>
      <c r="C57" s="64" t="s">
        <v>175</v>
      </c>
      <c r="D57" s="65"/>
      <c r="E57" s="65"/>
      <c r="F57" s="13" t="s">
        <v>204</v>
      </c>
      <c r="G57" s="20">
        <v>30.55</v>
      </c>
      <c r="H57" s="20">
        <v>0</v>
      </c>
      <c r="I57" s="20">
        <f t="shared" si="44"/>
        <v>0</v>
      </c>
      <c r="J57" s="20">
        <f t="shared" si="45"/>
        <v>0</v>
      </c>
      <c r="K57" s="20">
        <f t="shared" si="46"/>
        <v>0</v>
      </c>
      <c r="L57" s="31" t="s">
        <v>227</v>
      </c>
      <c r="M57" s="35"/>
      <c r="Z57" s="38">
        <f t="shared" si="47"/>
        <v>0</v>
      </c>
      <c r="AB57" s="38">
        <f t="shared" si="48"/>
        <v>0</v>
      </c>
      <c r="AC57" s="38">
        <f t="shared" si="49"/>
        <v>0</v>
      </c>
      <c r="AD57" s="38">
        <f t="shared" si="50"/>
        <v>0</v>
      </c>
      <c r="AE57" s="38">
        <f t="shared" si="51"/>
        <v>0</v>
      </c>
      <c r="AF57" s="38">
        <f t="shared" si="52"/>
        <v>0</v>
      </c>
      <c r="AG57" s="38">
        <f t="shared" si="53"/>
        <v>0</v>
      </c>
      <c r="AH57" s="38">
        <f t="shared" si="54"/>
        <v>0</v>
      </c>
      <c r="AI57" s="37"/>
      <c r="AJ57" s="20">
        <f t="shared" si="55"/>
        <v>0</v>
      </c>
      <c r="AK57" s="20">
        <f t="shared" si="56"/>
        <v>0</v>
      </c>
      <c r="AL57" s="20">
        <f t="shared" si="57"/>
        <v>0</v>
      </c>
      <c r="AN57" s="38">
        <v>21</v>
      </c>
      <c r="AO57" s="38">
        <f>H57*0.195597826086957</f>
        <v>0</v>
      </c>
      <c r="AP57" s="38">
        <f>H57*(1-0.195597826086957)</f>
        <v>0</v>
      </c>
      <c r="AQ57" s="39" t="s">
        <v>13</v>
      </c>
      <c r="AV57" s="38">
        <f t="shared" si="58"/>
        <v>0</v>
      </c>
      <c r="AW57" s="38">
        <f t="shared" si="59"/>
        <v>0</v>
      </c>
      <c r="AX57" s="38">
        <f t="shared" si="60"/>
        <v>0</v>
      </c>
      <c r="AY57" s="41" t="s">
        <v>245</v>
      </c>
      <c r="AZ57" s="41" t="s">
        <v>255</v>
      </c>
      <c r="BA57" s="37" t="s">
        <v>257</v>
      </c>
      <c r="BC57" s="38">
        <f t="shared" si="61"/>
        <v>0</v>
      </c>
      <c r="BD57" s="38">
        <f t="shared" si="62"/>
        <v>0</v>
      </c>
      <c r="BE57" s="38">
        <v>0</v>
      </c>
      <c r="BF57" s="38">
        <f>57</f>
        <v>57</v>
      </c>
      <c r="BH57" s="20">
        <f t="shared" si="63"/>
        <v>0</v>
      </c>
      <c r="BI57" s="20">
        <f t="shared" si="64"/>
        <v>0</v>
      </c>
      <c r="BJ57" s="20">
        <f t="shared" si="65"/>
        <v>0</v>
      </c>
      <c r="BK57" s="20" t="s">
        <v>263</v>
      </c>
      <c r="BL57" s="38">
        <v>764</v>
      </c>
    </row>
    <row r="58" spans="1:64" ht="12.75">
      <c r="A58" s="4" t="s">
        <v>44</v>
      </c>
      <c r="B58" s="13" t="s">
        <v>107</v>
      </c>
      <c r="C58" s="64" t="s">
        <v>176</v>
      </c>
      <c r="D58" s="65"/>
      <c r="E58" s="65"/>
      <c r="F58" s="13" t="s">
        <v>204</v>
      </c>
      <c r="G58" s="20">
        <v>25.5</v>
      </c>
      <c r="H58" s="20">
        <v>0</v>
      </c>
      <c r="I58" s="20">
        <f t="shared" si="44"/>
        <v>0</v>
      </c>
      <c r="J58" s="20">
        <f t="shared" si="45"/>
        <v>0</v>
      </c>
      <c r="K58" s="20">
        <f t="shared" si="46"/>
        <v>0</v>
      </c>
      <c r="L58" s="31" t="s">
        <v>227</v>
      </c>
      <c r="M58" s="35"/>
      <c r="Z58" s="38">
        <f t="shared" si="47"/>
        <v>0</v>
      </c>
      <c r="AB58" s="38">
        <f t="shared" si="48"/>
        <v>0</v>
      </c>
      <c r="AC58" s="38">
        <f t="shared" si="49"/>
        <v>0</v>
      </c>
      <c r="AD58" s="38">
        <f t="shared" si="50"/>
        <v>0</v>
      </c>
      <c r="AE58" s="38">
        <f t="shared" si="51"/>
        <v>0</v>
      </c>
      <c r="AF58" s="38">
        <f t="shared" si="52"/>
        <v>0</v>
      </c>
      <c r="AG58" s="38">
        <f t="shared" si="53"/>
        <v>0</v>
      </c>
      <c r="AH58" s="38">
        <f t="shared" si="54"/>
        <v>0</v>
      </c>
      <c r="AI58" s="37"/>
      <c r="AJ58" s="20">
        <f t="shared" si="55"/>
        <v>0</v>
      </c>
      <c r="AK58" s="20">
        <f t="shared" si="56"/>
        <v>0</v>
      </c>
      <c r="AL58" s="20">
        <f t="shared" si="57"/>
        <v>0</v>
      </c>
      <c r="AN58" s="38">
        <v>21</v>
      </c>
      <c r="AO58" s="38">
        <f>H58*0.304649298597194</f>
        <v>0</v>
      </c>
      <c r="AP58" s="38">
        <f>H58*(1-0.304649298597194)</f>
        <v>0</v>
      </c>
      <c r="AQ58" s="39" t="s">
        <v>13</v>
      </c>
      <c r="AV58" s="38">
        <f t="shared" si="58"/>
        <v>0</v>
      </c>
      <c r="AW58" s="38">
        <f t="shared" si="59"/>
        <v>0</v>
      </c>
      <c r="AX58" s="38">
        <f t="shared" si="60"/>
        <v>0</v>
      </c>
      <c r="AY58" s="41" t="s">
        <v>245</v>
      </c>
      <c r="AZ58" s="41" t="s">
        <v>255</v>
      </c>
      <c r="BA58" s="37" t="s">
        <v>257</v>
      </c>
      <c r="BC58" s="38">
        <f t="shared" si="61"/>
        <v>0</v>
      </c>
      <c r="BD58" s="38">
        <f t="shared" si="62"/>
        <v>0</v>
      </c>
      <c r="BE58" s="38">
        <v>0</v>
      </c>
      <c r="BF58" s="38">
        <f>58</f>
        <v>58</v>
      </c>
      <c r="BH58" s="20">
        <f t="shared" si="63"/>
        <v>0</v>
      </c>
      <c r="BI58" s="20">
        <f t="shared" si="64"/>
        <v>0</v>
      </c>
      <c r="BJ58" s="20">
        <f t="shared" si="65"/>
        <v>0</v>
      </c>
      <c r="BK58" s="20" t="s">
        <v>263</v>
      </c>
      <c r="BL58" s="38">
        <v>764</v>
      </c>
    </row>
    <row r="59" spans="1:64" ht="12.75">
      <c r="A59" s="4" t="s">
        <v>45</v>
      </c>
      <c r="B59" s="13" t="s">
        <v>108</v>
      </c>
      <c r="C59" s="64" t="s">
        <v>177</v>
      </c>
      <c r="D59" s="65"/>
      <c r="E59" s="65"/>
      <c r="F59" s="13" t="s">
        <v>207</v>
      </c>
      <c r="G59" s="20">
        <v>10</v>
      </c>
      <c r="H59" s="20">
        <v>0</v>
      </c>
      <c r="I59" s="20">
        <f t="shared" si="44"/>
        <v>0</v>
      </c>
      <c r="J59" s="20">
        <f t="shared" si="45"/>
        <v>0</v>
      </c>
      <c r="K59" s="20">
        <f t="shared" si="46"/>
        <v>0</v>
      </c>
      <c r="L59" s="31" t="s">
        <v>227</v>
      </c>
      <c r="M59" s="35"/>
      <c r="Z59" s="38">
        <f t="shared" si="47"/>
        <v>0</v>
      </c>
      <c r="AB59" s="38">
        <f t="shared" si="48"/>
        <v>0</v>
      </c>
      <c r="AC59" s="38">
        <f t="shared" si="49"/>
        <v>0</v>
      </c>
      <c r="AD59" s="38">
        <f t="shared" si="50"/>
        <v>0</v>
      </c>
      <c r="AE59" s="38">
        <f t="shared" si="51"/>
        <v>0</v>
      </c>
      <c r="AF59" s="38">
        <f t="shared" si="52"/>
        <v>0</v>
      </c>
      <c r="AG59" s="38">
        <f t="shared" si="53"/>
        <v>0</v>
      </c>
      <c r="AH59" s="38">
        <f t="shared" si="54"/>
        <v>0</v>
      </c>
      <c r="AI59" s="37"/>
      <c r="AJ59" s="20">
        <f t="shared" si="55"/>
        <v>0</v>
      </c>
      <c r="AK59" s="20">
        <f t="shared" si="56"/>
        <v>0</v>
      </c>
      <c r="AL59" s="20">
        <f t="shared" si="57"/>
        <v>0</v>
      </c>
      <c r="AN59" s="38">
        <v>21</v>
      </c>
      <c r="AO59" s="38">
        <f>H59*0.191504600297504</f>
        <v>0</v>
      </c>
      <c r="AP59" s="38">
        <f>H59*(1-0.191504600297504)</f>
        <v>0</v>
      </c>
      <c r="AQ59" s="39" t="s">
        <v>13</v>
      </c>
      <c r="AV59" s="38">
        <f t="shared" si="58"/>
        <v>0</v>
      </c>
      <c r="AW59" s="38">
        <f t="shared" si="59"/>
        <v>0</v>
      </c>
      <c r="AX59" s="38">
        <f t="shared" si="60"/>
        <v>0</v>
      </c>
      <c r="AY59" s="41" t="s">
        <v>245</v>
      </c>
      <c r="AZ59" s="41" t="s">
        <v>255</v>
      </c>
      <c r="BA59" s="37" t="s">
        <v>257</v>
      </c>
      <c r="BC59" s="38">
        <f t="shared" si="61"/>
        <v>0</v>
      </c>
      <c r="BD59" s="38">
        <f t="shared" si="62"/>
        <v>0</v>
      </c>
      <c r="BE59" s="38">
        <v>0</v>
      </c>
      <c r="BF59" s="38">
        <f>59</f>
        <v>59</v>
      </c>
      <c r="BH59" s="20">
        <f t="shared" si="63"/>
        <v>0</v>
      </c>
      <c r="BI59" s="20">
        <f t="shared" si="64"/>
        <v>0</v>
      </c>
      <c r="BJ59" s="20">
        <f t="shared" si="65"/>
        <v>0</v>
      </c>
      <c r="BK59" s="20" t="s">
        <v>263</v>
      </c>
      <c r="BL59" s="38">
        <v>764</v>
      </c>
    </row>
    <row r="60" spans="1:64" ht="12.75">
      <c r="A60" s="6" t="s">
        <v>46</v>
      </c>
      <c r="B60" s="15" t="s">
        <v>109</v>
      </c>
      <c r="C60" s="74" t="s">
        <v>178</v>
      </c>
      <c r="D60" s="75"/>
      <c r="E60" s="75"/>
      <c r="F60" s="15" t="s">
        <v>207</v>
      </c>
      <c r="G60" s="21">
        <v>5</v>
      </c>
      <c r="H60" s="21">
        <v>0</v>
      </c>
      <c r="I60" s="21">
        <f t="shared" si="44"/>
        <v>0</v>
      </c>
      <c r="J60" s="21">
        <f t="shared" si="45"/>
        <v>0</v>
      </c>
      <c r="K60" s="21">
        <f t="shared" si="46"/>
        <v>0</v>
      </c>
      <c r="L60" s="33" t="s">
        <v>227</v>
      </c>
      <c r="M60" s="35"/>
      <c r="Z60" s="38">
        <f t="shared" si="47"/>
        <v>0</v>
      </c>
      <c r="AB60" s="38">
        <f t="shared" si="48"/>
        <v>0</v>
      </c>
      <c r="AC60" s="38">
        <f t="shared" si="49"/>
        <v>0</v>
      </c>
      <c r="AD60" s="38">
        <f t="shared" si="50"/>
        <v>0</v>
      </c>
      <c r="AE60" s="38">
        <f t="shared" si="51"/>
        <v>0</v>
      </c>
      <c r="AF60" s="38">
        <f t="shared" si="52"/>
        <v>0</v>
      </c>
      <c r="AG60" s="38">
        <f t="shared" si="53"/>
        <v>0</v>
      </c>
      <c r="AH60" s="38">
        <f t="shared" si="54"/>
        <v>0</v>
      </c>
      <c r="AI60" s="37"/>
      <c r="AJ60" s="21">
        <f t="shared" si="55"/>
        <v>0</v>
      </c>
      <c r="AK60" s="21">
        <f t="shared" si="56"/>
        <v>0</v>
      </c>
      <c r="AL60" s="21">
        <f t="shared" si="57"/>
        <v>0</v>
      </c>
      <c r="AN60" s="38">
        <v>21</v>
      </c>
      <c r="AO60" s="38">
        <f>H60*1</f>
        <v>0</v>
      </c>
      <c r="AP60" s="38">
        <f>H60*(1-1)</f>
        <v>0</v>
      </c>
      <c r="AQ60" s="40" t="s">
        <v>13</v>
      </c>
      <c r="AV60" s="38">
        <f t="shared" si="58"/>
        <v>0</v>
      </c>
      <c r="AW60" s="38">
        <f t="shared" si="59"/>
        <v>0</v>
      </c>
      <c r="AX60" s="38">
        <f t="shared" si="60"/>
        <v>0</v>
      </c>
      <c r="AY60" s="41" t="s">
        <v>245</v>
      </c>
      <c r="AZ60" s="41" t="s">
        <v>255</v>
      </c>
      <c r="BA60" s="37" t="s">
        <v>257</v>
      </c>
      <c r="BC60" s="38">
        <f t="shared" si="61"/>
        <v>0</v>
      </c>
      <c r="BD60" s="38">
        <f t="shared" si="62"/>
        <v>0</v>
      </c>
      <c r="BE60" s="38">
        <v>0</v>
      </c>
      <c r="BF60" s="38">
        <f>60</f>
        <v>60</v>
      </c>
      <c r="BH60" s="21">
        <f t="shared" si="63"/>
        <v>0</v>
      </c>
      <c r="BI60" s="21">
        <f t="shared" si="64"/>
        <v>0</v>
      </c>
      <c r="BJ60" s="21">
        <f t="shared" si="65"/>
        <v>0</v>
      </c>
      <c r="BK60" s="21" t="s">
        <v>264</v>
      </c>
      <c r="BL60" s="38">
        <v>764</v>
      </c>
    </row>
    <row r="61" spans="1:64" ht="12.75">
      <c r="A61" s="6" t="s">
        <v>47</v>
      </c>
      <c r="B61" s="15" t="s">
        <v>110</v>
      </c>
      <c r="C61" s="74" t="s">
        <v>179</v>
      </c>
      <c r="D61" s="75"/>
      <c r="E61" s="75"/>
      <c r="F61" s="15" t="s">
        <v>207</v>
      </c>
      <c r="G61" s="21">
        <v>5</v>
      </c>
      <c r="H61" s="21">
        <v>0</v>
      </c>
      <c r="I61" s="21">
        <f t="shared" si="44"/>
        <v>0</v>
      </c>
      <c r="J61" s="21">
        <f t="shared" si="45"/>
        <v>0</v>
      </c>
      <c r="K61" s="21">
        <f t="shared" si="46"/>
        <v>0</v>
      </c>
      <c r="L61" s="33" t="s">
        <v>227</v>
      </c>
      <c r="M61" s="35"/>
      <c r="Z61" s="38">
        <f t="shared" si="47"/>
        <v>0</v>
      </c>
      <c r="AB61" s="38">
        <f t="shared" si="48"/>
        <v>0</v>
      </c>
      <c r="AC61" s="38">
        <f t="shared" si="49"/>
        <v>0</v>
      </c>
      <c r="AD61" s="38">
        <f t="shared" si="50"/>
        <v>0</v>
      </c>
      <c r="AE61" s="38">
        <f t="shared" si="51"/>
        <v>0</v>
      </c>
      <c r="AF61" s="38">
        <f t="shared" si="52"/>
        <v>0</v>
      </c>
      <c r="AG61" s="38">
        <f t="shared" si="53"/>
        <v>0</v>
      </c>
      <c r="AH61" s="38">
        <f t="shared" si="54"/>
        <v>0</v>
      </c>
      <c r="AI61" s="37"/>
      <c r="AJ61" s="21">
        <f t="shared" si="55"/>
        <v>0</v>
      </c>
      <c r="AK61" s="21">
        <f t="shared" si="56"/>
        <v>0</v>
      </c>
      <c r="AL61" s="21">
        <f t="shared" si="57"/>
        <v>0</v>
      </c>
      <c r="AN61" s="38">
        <v>21</v>
      </c>
      <c r="AO61" s="38">
        <f>H61*1</f>
        <v>0</v>
      </c>
      <c r="AP61" s="38">
        <f>H61*(1-1)</f>
        <v>0</v>
      </c>
      <c r="AQ61" s="40" t="s">
        <v>13</v>
      </c>
      <c r="AV61" s="38">
        <f t="shared" si="58"/>
        <v>0</v>
      </c>
      <c r="AW61" s="38">
        <f t="shared" si="59"/>
        <v>0</v>
      </c>
      <c r="AX61" s="38">
        <f t="shared" si="60"/>
        <v>0</v>
      </c>
      <c r="AY61" s="41" t="s">
        <v>245</v>
      </c>
      <c r="AZ61" s="41" t="s">
        <v>255</v>
      </c>
      <c r="BA61" s="37" t="s">
        <v>257</v>
      </c>
      <c r="BC61" s="38">
        <f t="shared" si="61"/>
        <v>0</v>
      </c>
      <c r="BD61" s="38">
        <f t="shared" si="62"/>
        <v>0</v>
      </c>
      <c r="BE61" s="38">
        <v>0</v>
      </c>
      <c r="BF61" s="38">
        <f>61</f>
        <v>61</v>
      </c>
      <c r="BH61" s="21">
        <f t="shared" si="63"/>
        <v>0</v>
      </c>
      <c r="BI61" s="21">
        <f t="shared" si="64"/>
        <v>0</v>
      </c>
      <c r="BJ61" s="21">
        <f t="shared" si="65"/>
        <v>0</v>
      </c>
      <c r="BK61" s="21" t="s">
        <v>264</v>
      </c>
      <c r="BL61" s="38">
        <v>764</v>
      </c>
    </row>
    <row r="62" spans="1:64" ht="12.75">
      <c r="A62" s="4" t="s">
        <v>48</v>
      </c>
      <c r="B62" s="13" t="s">
        <v>111</v>
      </c>
      <c r="C62" s="64" t="s">
        <v>180</v>
      </c>
      <c r="D62" s="65"/>
      <c r="E62" s="65"/>
      <c r="F62" s="13" t="s">
        <v>205</v>
      </c>
      <c r="G62" s="20">
        <v>0.93479</v>
      </c>
      <c r="H62" s="20">
        <v>0</v>
      </c>
      <c r="I62" s="20">
        <f t="shared" si="44"/>
        <v>0</v>
      </c>
      <c r="J62" s="20">
        <f t="shared" si="45"/>
        <v>0</v>
      </c>
      <c r="K62" s="20">
        <f t="shared" si="46"/>
        <v>0</v>
      </c>
      <c r="L62" s="31" t="s">
        <v>227</v>
      </c>
      <c r="M62" s="35"/>
      <c r="Z62" s="38">
        <f t="shared" si="47"/>
        <v>0</v>
      </c>
      <c r="AB62" s="38">
        <f t="shared" si="48"/>
        <v>0</v>
      </c>
      <c r="AC62" s="38">
        <f t="shared" si="49"/>
        <v>0</v>
      </c>
      <c r="AD62" s="38">
        <f t="shared" si="50"/>
        <v>0</v>
      </c>
      <c r="AE62" s="38">
        <f t="shared" si="51"/>
        <v>0</v>
      </c>
      <c r="AF62" s="38">
        <f t="shared" si="52"/>
        <v>0</v>
      </c>
      <c r="AG62" s="38">
        <f t="shared" si="53"/>
        <v>0</v>
      </c>
      <c r="AH62" s="38">
        <f t="shared" si="54"/>
        <v>0</v>
      </c>
      <c r="AI62" s="37"/>
      <c r="AJ62" s="20">
        <f t="shared" si="55"/>
        <v>0</v>
      </c>
      <c r="AK62" s="20">
        <f t="shared" si="56"/>
        <v>0</v>
      </c>
      <c r="AL62" s="20">
        <f t="shared" si="57"/>
        <v>0</v>
      </c>
      <c r="AN62" s="38">
        <v>21</v>
      </c>
      <c r="AO62" s="38">
        <f>H62*0</f>
        <v>0</v>
      </c>
      <c r="AP62" s="38">
        <f>H62*(1-0)</f>
        <v>0</v>
      </c>
      <c r="AQ62" s="39" t="s">
        <v>11</v>
      </c>
      <c r="AV62" s="38">
        <f t="shared" si="58"/>
        <v>0</v>
      </c>
      <c r="AW62" s="38">
        <f t="shared" si="59"/>
        <v>0</v>
      </c>
      <c r="AX62" s="38">
        <f t="shared" si="60"/>
        <v>0</v>
      </c>
      <c r="AY62" s="41" t="s">
        <v>245</v>
      </c>
      <c r="AZ62" s="41" t="s">
        <v>255</v>
      </c>
      <c r="BA62" s="37" t="s">
        <v>257</v>
      </c>
      <c r="BC62" s="38">
        <f t="shared" si="61"/>
        <v>0</v>
      </c>
      <c r="BD62" s="38">
        <f t="shared" si="62"/>
        <v>0</v>
      </c>
      <c r="BE62" s="38">
        <v>0</v>
      </c>
      <c r="BF62" s="38">
        <f>62</f>
        <v>62</v>
      </c>
      <c r="BH62" s="20">
        <f t="shared" si="63"/>
        <v>0</v>
      </c>
      <c r="BI62" s="20">
        <f t="shared" si="64"/>
        <v>0</v>
      </c>
      <c r="BJ62" s="20">
        <f t="shared" si="65"/>
        <v>0</v>
      </c>
      <c r="BK62" s="20" t="s">
        <v>263</v>
      </c>
      <c r="BL62" s="38">
        <v>764</v>
      </c>
    </row>
    <row r="63" spans="1:47" ht="12.75">
      <c r="A63" s="5"/>
      <c r="B63" s="14" t="s">
        <v>112</v>
      </c>
      <c r="C63" s="72" t="s">
        <v>181</v>
      </c>
      <c r="D63" s="73"/>
      <c r="E63" s="73"/>
      <c r="F63" s="18" t="s">
        <v>6</v>
      </c>
      <c r="G63" s="18" t="s">
        <v>6</v>
      </c>
      <c r="H63" s="18" t="s">
        <v>6</v>
      </c>
      <c r="I63" s="44">
        <f>SUM(I64:I65)</f>
        <v>0</v>
      </c>
      <c r="J63" s="44">
        <f>SUM(J64:J65)</f>
        <v>0</v>
      </c>
      <c r="K63" s="44">
        <f>SUM(K64:K65)</f>
        <v>0</v>
      </c>
      <c r="L63" s="32"/>
      <c r="M63" s="35"/>
      <c r="AI63" s="37"/>
      <c r="AS63" s="44">
        <f>SUM(AJ64:AJ65)</f>
        <v>0</v>
      </c>
      <c r="AT63" s="44">
        <f>SUM(AK64:AK65)</f>
        <v>0</v>
      </c>
      <c r="AU63" s="44">
        <f>SUM(AL64:AL65)</f>
        <v>0</v>
      </c>
    </row>
    <row r="64" spans="1:64" ht="12.75">
      <c r="A64" s="4" t="s">
        <v>49</v>
      </c>
      <c r="B64" s="13" t="s">
        <v>113</v>
      </c>
      <c r="C64" s="64" t="s">
        <v>182</v>
      </c>
      <c r="D64" s="65"/>
      <c r="E64" s="65"/>
      <c r="F64" s="13" t="s">
        <v>210</v>
      </c>
      <c r="G64" s="20">
        <v>1362.575</v>
      </c>
      <c r="H64" s="20">
        <v>0</v>
      </c>
      <c r="I64" s="20">
        <f>G64*AO64</f>
        <v>0</v>
      </c>
      <c r="J64" s="20">
        <f>G64*AP64</f>
        <v>0</v>
      </c>
      <c r="K64" s="20">
        <f>G64*H64</f>
        <v>0</v>
      </c>
      <c r="L64" s="31" t="s">
        <v>227</v>
      </c>
      <c r="M64" s="35"/>
      <c r="Z64" s="38">
        <f>IF(AQ64="5",BJ64,0)</f>
        <v>0</v>
      </c>
      <c r="AB64" s="38">
        <f>IF(AQ64="1",BH64,0)</f>
        <v>0</v>
      </c>
      <c r="AC64" s="38">
        <f>IF(AQ64="1",BI64,0)</f>
        <v>0</v>
      </c>
      <c r="AD64" s="38">
        <f>IF(AQ64="7",BH64,0)</f>
        <v>0</v>
      </c>
      <c r="AE64" s="38">
        <f>IF(AQ64="7",BI64,0)</f>
        <v>0</v>
      </c>
      <c r="AF64" s="38">
        <f>IF(AQ64="2",BH64,0)</f>
        <v>0</v>
      </c>
      <c r="AG64" s="38">
        <f>IF(AQ64="2",BI64,0)</f>
        <v>0</v>
      </c>
      <c r="AH64" s="38">
        <f>IF(AQ64="0",BJ64,0)</f>
        <v>0</v>
      </c>
      <c r="AI64" s="37"/>
      <c r="AJ64" s="20">
        <f>IF(AN64=0,K64,0)</f>
        <v>0</v>
      </c>
      <c r="AK64" s="20">
        <f>IF(AN64=15,K64,0)</f>
        <v>0</v>
      </c>
      <c r="AL64" s="20">
        <f>IF(AN64=21,K64,0)</f>
        <v>0</v>
      </c>
      <c r="AN64" s="38">
        <v>21</v>
      </c>
      <c r="AO64" s="38">
        <f>H64*0.179763906748333</f>
        <v>0</v>
      </c>
      <c r="AP64" s="38">
        <f>H64*(1-0.179763906748333)</f>
        <v>0</v>
      </c>
      <c r="AQ64" s="39" t="s">
        <v>13</v>
      </c>
      <c r="AV64" s="38">
        <f>AW64+AX64</f>
        <v>0</v>
      </c>
      <c r="AW64" s="38">
        <f>G64*AO64</f>
        <v>0</v>
      </c>
      <c r="AX64" s="38">
        <f>G64*AP64</f>
        <v>0</v>
      </c>
      <c r="AY64" s="41" t="s">
        <v>246</v>
      </c>
      <c r="AZ64" s="41" t="s">
        <v>255</v>
      </c>
      <c r="BA64" s="37" t="s">
        <v>257</v>
      </c>
      <c r="BC64" s="38">
        <f>AW64+AX64</f>
        <v>0</v>
      </c>
      <c r="BD64" s="38">
        <f>H64/(100-BE64)*100</f>
        <v>0</v>
      </c>
      <c r="BE64" s="38">
        <v>0</v>
      </c>
      <c r="BF64" s="38">
        <f>64</f>
        <v>64</v>
      </c>
      <c r="BH64" s="20">
        <f>G64*AO64</f>
        <v>0</v>
      </c>
      <c r="BI64" s="20">
        <f>G64*AP64</f>
        <v>0</v>
      </c>
      <c r="BJ64" s="20">
        <f>G64*H64</f>
        <v>0</v>
      </c>
      <c r="BK64" s="20" t="s">
        <v>263</v>
      </c>
      <c r="BL64" s="38">
        <v>767</v>
      </c>
    </row>
    <row r="65" spans="1:64" ht="12.75">
      <c r="A65" s="4" t="s">
        <v>50</v>
      </c>
      <c r="B65" s="13" t="s">
        <v>69</v>
      </c>
      <c r="C65" s="64" t="s">
        <v>135</v>
      </c>
      <c r="D65" s="65"/>
      <c r="E65" s="65"/>
      <c r="F65" s="13" t="s">
        <v>205</v>
      </c>
      <c r="G65" s="20">
        <v>1.44433</v>
      </c>
      <c r="H65" s="20">
        <v>0</v>
      </c>
      <c r="I65" s="20">
        <f>G65*AO65</f>
        <v>0</v>
      </c>
      <c r="J65" s="20">
        <f>G65*AP65</f>
        <v>0</v>
      </c>
      <c r="K65" s="20">
        <f>G65*H65</f>
        <v>0</v>
      </c>
      <c r="L65" s="31" t="s">
        <v>227</v>
      </c>
      <c r="M65" s="35"/>
      <c r="Z65" s="38">
        <f>IF(AQ65="5",BJ65,0)</f>
        <v>0</v>
      </c>
      <c r="AB65" s="38">
        <f>IF(AQ65="1",BH65,0)</f>
        <v>0</v>
      </c>
      <c r="AC65" s="38">
        <f>IF(AQ65="1",BI65,0)</f>
        <v>0</v>
      </c>
      <c r="AD65" s="38">
        <f>IF(AQ65="7",BH65,0)</f>
        <v>0</v>
      </c>
      <c r="AE65" s="38">
        <f>IF(AQ65="7",BI65,0)</f>
        <v>0</v>
      </c>
      <c r="AF65" s="38">
        <f>IF(AQ65="2",BH65,0)</f>
        <v>0</v>
      </c>
      <c r="AG65" s="38">
        <f>IF(AQ65="2",BI65,0)</f>
        <v>0</v>
      </c>
      <c r="AH65" s="38">
        <f>IF(AQ65="0",BJ65,0)</f>
        <v>0</v>
      </c>
      <c r="AI65" s="37"/>
      <c r="AJ65" s="20">
        <f>IF(AN65=0,K65,0)</f>
        <v>0</v>
      </c>
      <c r="AK65" s="20">
        <f>IF(AN65=15,K65,0)</f>
        <v>0</v>
      </c>
      <c r="AL65" s="20">
        <f>IF(AN65=21,K65,0)</f>
        <v>0</v>
      </c>
      <c r="AN65" s="38">
        <v>21</v>
      </c>
      <c r="AO65" s="38">
        <f>H65*0</f>
        <v>0</v>
      </c>
      <c r="AP65" s="38">
        <f>H65*(1-0)</f>
        <v>0</v>
      </c>
      <c r="AQ65" s="39" t="s">
        <v>11</v>
      </c>
      <c r="AV65" s="38">
        <f>AW65+AX65</f>
        <v>0</v>
      </c>
      <c r="AW65" s="38">
        <f>G65*AO65</f>
        <v>0</v>
      </c>
      <c r="AX65" s="38">
        <f>G65*AP65</f>
        <v>0</v>
      </c>
      <c r="AY65" s="41" t="s">
        <v>246</v>
      </c>
      <c r="AZ65" s="41" t="s">
        <v>255</v>
      </c>
      <c r="BA65" s="37" t="s">
        <v>257</v>
      </c>
      <c r="BC65" s="38">
        <f>AW65+AX65</f>
        <v>0</v>
      </c>
      <c r="BD65" s="38">
        <f>H65/(100-BE65)*100</f>
        <v>0</v>
      </c>
      <c r="BE65" s="38">
        <v>0</v>
      </c>
      <c r="BF65" s="38">
        <f>65</f>
        <v>65</v>
      </c>
      <c r="BH65" s="20">
        <f>G65*AO65</f>
        <v>0</v>
      </c>
      <c r="BI65" s="20">
        <f>G65*AP65</f>
        <v>0</v>
      </c>
      <c r="BJ65" s="20">
        <f>G65*H65</f>
        <v>0</v>
      </c>
      <c r="BK65" s="20" t="s">
        <v>263</v>
      </c>
      <c r="BL65" s="38">
        <v>767</v>
      </c>
    </row>
    <row r="66" spans="1:47" ht="12.75">
      <c r="A66" s="5"/>
      <c r="B66" s="14" t="s">
        <v>114</v>
      </c>
      <c r="C66" s="72" t="s">
        <v>183</v>
      </c>
      <c r="D66" s="73"/>
      <c r="E66" s="73"/>
      <c r="F66" s="18" t="s">
        <v>6</v>
      </c>
      <c r="G66" s="18" t="s">
        <v>6</v>
      </c>
      <c r="H66" s="18" t="s">
        <v>6</v>
      </c>
      <c r="I66" s="44">
        <f>SUM(I67:I67)</f>
        <v>0</v>
      </c>
      <c r="J66" s="44">
        <f>SUM(J67:J67)</f>
        <v>0</v>
      </c>
      <c r="K66" s="44">
        <f>SUM(K67:K67)</f>
        <v>0</v>
      </c>
      <c r="L66" s="32"/>
      <c r="M66" s="35"/>
      <c r="AI66" s="37"/>
      <c r="AS66" s="44">
        <f>SUM(AJ67:AJ67)</f>
        <v>0</v>
      </c>
      <c r="AT66" s="44">
        <f>SUM(AK67:AK67)</f>
        <v>0</v>
      </c>
      <c r="AU66" s="44">
        <f>SUM(AL67:AL67)</f>
        <v>0</v>
      </c>
    </row>
    <row r="67" spans="1:64" ht="12.75">
      <c r="A67" s="4" t="s">
        <v>51</v>
      </c>
      <c r="B67" s="13" t="s">
        <v>115</v>
      </c>
      <c r="C67" s="64" t="s">
        <v>184</v>
      </c>
      <c r="D67" s="65"/>
      <c r="E67" s="65"/>
      <c r="F67" s="13" t="s">
        <v>206</v>
      </c>
      <c r="G67" s="20">
        <v>30</v>
      </c>
      <c r="H67" s="20">
        <v>0</v>
      </c>
      <c r="I67" s="20">
        <f>G67*AO67</f>
        <v>0</v>
      </c>
      <c r="J67" s="20">
        <f>G67*AP67</f>
        <v>0</v>
      </c>
      <c r="K67" s="20">
        <f>G67*H67</f>
        <v>0</v>
      </c>
      <c r="L67" s="31" t="s">
        <v>227</v>
      </c>
      <c r="M67" s="35"/>
      <c r="Z67" s="38">
        <f>IF(AQ67="5",BJ67,0)</f>
        <v>0</v>
      </c>
      <c r="AB67" s="38">
        <f>IF(AQ67="1",BH67,0)</f>
        <v>0</v>
      </c>
      <c r="AC67" s="38">
        <f>IF(AQ67="1",BI67,0)</f>
        <v>0</v>
      </c>
      <c r="AD67" s="38">
        <f>IF(AQ67="7",BH67,0)</f>
        <v>0</v>
      </c>
      <c r="AE67" s="38">
        <f>IF(AQ67="7",BI67,0)</f>
        <v>0</v>
      </c>
      <c r="AF67" s="38">
        <f>IF(AQ67="2",BH67,0)</f>
        <v>0</v>
      </c>
      <c r="AG67" s="38">
        <f>IF(AQ67="2",BI67,0)</f>
        <v>0</v>
      </c>
      <c r="AH67" s="38">
        <f>IF(AQ67="0",BJ67,0)</f>
        <v>0</v>
      </c>
      <c r="AI67" s="37"/>
      <c r="AJ67" s="20">
        <f>IF(AN67=0,K67,0)</f>
        <v>0</v>
      </c>
      <c r="AK67" s="20">
        <f>IF(AN67=15,K67,0)</f>
        <v>0</v>
      </c>
      <c r="AL67" s="20">
        <f>IF(AN67=21,K67,0)</f>
        <v>0</v>
      </c>
      <c r="AN67" s="38">
        <v>21</v>
      </c>
      <c r="AO67" s="38">
        <f>H67*0.15699100572363</f>
        <v>0</v>
      </c>
      <c r="AP67" s="38">
        <f>H67*(1-0.15699100572363)</f>
        <v>0</v>
      </c>
      <c r="AQ67" s="39" t="s">
        <v>7</v>
      </c>
      <c r="AV67" s="38">
        <f>AW67+AX67</f>
        <v>0</v>
      </c>
      <c r="AW67" s="38">
        <f>G67*AO67</f>
        <v>0</v>
      </c>
      <c r="AX67" s="38">
        <f>G67*AP67</f>
        <v>0</v>
      </c>
      <c r="AY67" s="41" t="s">
        <v>247</v>
      </c>
      <c r="AZ67" s="41" t="s">
        <v>256</v>
      </c>
      <c r="BA67" s="37" t="s">
        <v>257</v>
      </c>
      <c r="BC67" s="38">
        <f>AW67+AX67</f>
        <v>0</v>
      </c>
      <c r="BD67" s="38">
        <f>H67/(100-BE67)*100</f>
        <v>0</v>
      </c>
      <c r="BE67" s="38">
        <v>0</v>
      </c>
      <c r="BF67" s="38">
        <f>67</f>
        <v>67</v>
      </c>
      <c r="BH67" s="20">
        <f>G67*AO67</f>
        <v>0</v>
      </c>
      <c r="BI67" s="20">
        <f>G67*AP67</f>
        <v>0</v>
      </c>
      <c r="BJ67" s="20">
        <f>G67*H67</f>
        <v>0</v>
      </c>
      <c r="BK67" s="20" t="s">
        <v>263</v>
      </c>
      <c r="BL67" s="38">
        <v>94</v>
      </c>
    </row>
    <row r="68" spans="1:47" ht="12.75">
      <c r="A68" s="5"/>
      <c r="B68" s="14" t="s">
        <v>116</v>
      </c>
      <c r="C68" s="72" t="s">
        <v>185</v>
      </c>
      <c r="D68" s="73"/>
      <c r="E68" s="73"/>
      <c r="F68" s="18" t="s">
        <v>6</v>
      </c>
      <c r="G68" s="18" t="s">
        <v>6</v>
      </c>
      <c r="H68" s="18" t="s">
        <v>6</v>
      </c>
      <c r="I68" s="44">
        <f>SUM(I69:I70)</f>
        <v>0</v>
      </c>
      <c r="J68" s="44">
        <f>SUM(J69:J70)</f>
        <v>0</v>
      </c>
      <c r="K68" s="44">
        <f>SUM(K69:K70)</f>
        <v>0</v>
      </c>
      <c r="L68" s="32"/>
      <c r="M68" s="35"/>
      <c r="AI68" s="37"/>
      <c r="AS68" s="44">
        <f>SUM(AJ69:AJ70)</f>
        <v>0</v>
      </c>
      <c r="AT68" s="44">
        <f>SUM(AK69:AK70)</f>
        <v>0</v>
      </c>
      <c r="AU68" s="44">
        <f>SUM(AL69:AL70)</f>
        <v>0</v>
      </c>
    </row>
    <row r="69" spans="1:64" ht="12.75">
      <c r="A69" s="4" t="s">
        <v>52</v>
      </c>
      <c r="B69" s="13" t="s">
        <v>117</v>
      </c>
      <c r="C69" s="64" t="s">
        <v>186</v>
      </c>
      <c r="D69" s="65"/>
      <c r="E69" s="65"/>
      <c r="F69" s="13" t="s">
        <v>204</v>
      </c>
      <c r="G69" s="20">
        <v>1.5</v>
      </c>
      <c r="H69" s="20">
        <v>0</v>
      </c>
      <c r="I69" s="20">
        <f>G69*AO69</f>
        <v>0</v>
      </c>
      <c r="J69" s="20">
        <f>G69*AP69</f>
        <v>0</v>
      </c>
      <c r="K69" s="20">
        <f>G69*H69</f>
        <v>0</v>
      </c>
      <c r="L69" s="31" t="s">
        <v>227</v>
      </c>
      <c r="M69" s="35"/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37"/>
      <c r="AJ69" s="20">
        <f>IF(AN69=0,K69,0)</f>
        <v>0</v>
      </c>
      <c r="AK69" s="20">
        <f>IF(AN69=15,K69,0)</f>
        <v>0</v>
      </c>
      <c r="AL69" s="20">
        <f>IF(AN69=21,K69,0)</f>
        <v>0</v>
      </c>
      <c r="AN69" s="38">
        <v>21</v>
      </c>
      <c r="AO69" s="38">
        <f>H69*0.342255574743172</f>
        <v>0</v>
      </c>
      <c r="AP69" s="38">
        <f>H69*(1-0.342255574743172)</f>
        <v>0</v>
      </c>
      <c r="AQ69" s="39" t="s">
        <v>7</v>
      </c>
      <c r="AV69" s="38">
        <f>AW69+AX69</f>
        <v>0</v>
      </c>
      <c r="AW69" s="38">
        <f>G69*AO69</f>
        <v>0</v>
      </c>
      <c r="AX69" s="38">
        <f>G69*AP69</f>
        <v>0</v>
      </c>
      <c r="AY69" s="41" t="s">
        <v>248</v>
      </c>
      <c r="AZ69" s="41" t="s">
        <v>256</v>
      </c>
      <c r="BA69" s="37" t="s">
        <v>257</v>
      </c>
      <c r="BC69" s="38">
        <f>AW69+AX69</f>
        <v>0</v>
      </c>
      <c r="BD69" s="38">
        <f>H69/(100-BE69)*100</f>
        <v>0</v>
      </c>
      <c r="BE69" s="38">
        <v>0</v>
      </c>
      <c r="BF69" s="38">
        <f>69</f>
        <v>69</v>
      </c>
      <c r="BH69" s="20">
        <f>G69*AO69</f>
        <v>0</v>
      </c>
      <c r="BI69" s="20">
        <f>G69*AP69</f>
        <v>0</v>
      </c>
      <c r="BJ69" s="20">
        <f>G69*H69</f>
        <v>0</v>
      </c>
      <c r="BK69" s="20" t="s">
        <v>263</v>
      </c>
      <c r="BL69" s="38">
        <v>97</v>
      </c>
    </row>
    <row r="70" spans="1:64" ht="12.75">
      <c r="A70" s="4" t="s">
        <v>53</v>
      </c>
      <c r="B70" s="13" t="s">
        <v>71</v>
      </c>
      <c r="C70" s="64" t="s">
        <v>138</v>
      </c>
      <c r="D70" s="65"/>
      <c r="E70" s="65"/>
      <c r="F70" s="13" t="s">
        <v>205</v>
      </c>
      <c r="G70" s="20">
        <v>0.05426</v>
      </c>
      <c r="H70" s="20">
        <v>0</v>
      </c>
      <c r="I70" s="20">
        <f>G70*AO70</f>
        <v>0</v>
      </c>
      <c r="J70" s="20">
        <f>G70*AP70</f>
        <v>0</v>
      </c>
      <c r="K70" s="20">
        <f>G70*H70</f>
        <v>0</v>
      </c>
      <c r="L70" s="31" t="s">
        <v>227</v>
      </c>
      <c r="M70" s="35"/>
      <c r="Z70" s="38">
        <f>IF(AQ70="5",BJ70,0)</f>
        <v>0</v>
      </c>
      <c r="AB70" s="38">
        <f>IF(AQ70="1",BH70,0)</f>
        <v>0</v>
      </c>
      <c r="AC70" s="38">
        <f>IF(AQ70="1",BI70,0)</f>
        <v>0</v>
      </c>
      <c r="AD70" s="38">
        <f>IF(AQ70="7",BH70,0)</f>
        <v>0</v>
      </c>
      <c r="AE70" s="38">
        <f>IF(AQ70="7",BI70,0)</f>
        <v>0</v>
      </c>
      <c r="AF70" s="38">
        <f>IF(AQ70="2",BH70,0)</f>
        <v>0</v>
      </c>
      <c r="AG70" s="38">
        <f>IF(AQ70="2",BI70,0)</f>
        <v>0</v>
      </c>
      <c r="AH70" s="38">
        <f>IF(AQ70="0",BJ70,0)</f>
        <v>0</v>
      </c>
      <c r="AI70" s="37"/>
      <c r="AJ70" s="20">
        <f>IF(AN70=0,K70,0)</f>
        <v>0</v>
      </c>
      <c r="AK70" s="20">
        <f>IF(AN70=15,K70,0)</f>
        <v>0</v>
      </c>
      <c r="AL70" s="20">
        <f>IF(AN70=21,K70,0)</f>
        <v>0</v>
      </c>
      <c r="AN70" s="38">
        <v>21</v>
      </c>
      <c r="AO70" s="38">
        <f>H70*0</f>
        <v>0</v>
      </c>
      <c r="AP70" s="38">
        <f>H70*(1-0)</f>
        <v>0</v>
      </c>
      <c r="AQ70" s="39" t="s">
        <v>11</v>
      </c>
      <c r="AV70" s="38">
        <f>AW70+AX70</f>
        <v>0</v>
      </c>
      <c r="AW70" s="38">
        <f>G70*AO70</f>
        <v>0</v>
      </c>
      <c r="AX70" s="38">
        <f>G70*AP70</f>
        <v>0</v>
      </c>
      <c r="AY70" s="41" t="s">
        <v>248</v>
      </c>
      <c r="AZ70" s="41" t="s">
        <v>256</v>
      </c>
      <c r="BA70" s="37" t="s">
        <v>257</v>
      </c>
      <c r="BC70" s="38">
        <f>AW70+AX70</f>
        <v>0</v>
      </c>
      <c r="BD70" s="38">
        <f>H70/(100-BE70)*100</f>
        <v>0</v>
      </c>
      <c r="BE70" s="38">
        <v>0</v>
      </c>
      <c r="BF70" s="38">
        <f>70</f>
        <v>70</v>
      </c>
      <c r="BH70" s="20">
        <f>G70*AO70</f>
        <v>0</v>
      </c>
      <c r="BI70" s="20">
        <f>G70*AP70</f>
        <v>0</v>
      </c>
      <c r="BJ70" s="20">
        <f>G70*H70</f>
        <v>0</v>
      </c>
      <c r="BK70" s="20" t="s">
        <v>263</v>
      </c>
      <c r="BL70" s="38">
        <v>97</v>
      </c>
    </row>
    <row r="71" spans="1:47" ht="12.75">
      <c r="A71" s="5"/>
      <c r="B71" s="14" t="s">
        <v>118</v>
      </c>
      <c r="C71" s="72" t="s">
        <v>187</v>
      </c>
      <c r="D71" s="73"/>
      <c r="E71" s="73"/>
      <c r="F71" s="18" t="s">
        <v>6</v>
      </c>
      <c r="G71" s="18" t="s">
        <v>6</v>
      </c>
      <c r="H71" s="18" t="s">
        <v>6</v>
      </c>
      <c r="I71" s="44">
        <f>SUM(I72:I73)</f>
        <v>0</v>
      </c>
      <c r="J71" s="44">
        <f>SUM(J72:J73)</f>
        <v>0</v>
      </c>
      <c r="K71" s="44">
        <f>SUM(K72:K73)</f>
        <v>0</v>
      </c>
      <c r="L71" s="32"/>
      <c r="M71" s="35"/>
      <c r="AI71" s="37"/>
      <c r="AS71" s="44">
        <f>SUM(AJ72:AJ73)</f>
        <v>0</v>
      </c>
      <c r="AT71" s="44">
        <f>SUM(AK72:AK73)</f>
        <v>0</v>
      </c>
      <c r="AU71" s="44">
        <f>SUM(AL72:AL73)</f>
        <v>0</v>
      </c>
    </row>
    <row r="72" spans="1:64" ht="12.75">
      <c r="A72" s="4" t="s">
        <v>54</v>
      </c>
      <c r="B72" s="13" t="s">
        <v>119</v>
      </c>
      <c r="C72" s="64" t="s">
        <v>188</v>
      </c>
      <c r="D72" s="65"/>
      <c r="E72" s="65"/>
      <c r="F72" s="13" t="s">
        <v>211</v>
      </c>
      <c r="G72" s="20">
        <v>1</v>
      </c>
      <c r="H72" s="20">
        <v>0</v>
      </c>
      <c r="I72" s="20">
        <f>G72*AO72</f>
        <v>0</v>
      </c>
      <c r="J72" s="20">
        <f>G72*AP72</f>
        <v>0</v>
      </c>
      <c r="K72" s="20">
        <f>G72*H72</f>
        <v>0</v>
      </c>
      <c r="L72" s="31" t="s">
        <v>227</v>
      </c>
      <c r="M72" s="35"/>
      <c r="Z72" s="38">
        <f>IF(AQ72="5",BJ72,0)</f>
        <v>0</v>
      </c>
      <c r="AB72" s="38">
        <f>IF(AQ72="1",BH72,0)</f>
        <v>0</v>
      </c>
      <c r="AC72" s="38">
        <f>IF(AQ72="1",BI72,0)</f>
        <v>0</v>
      </c>
      <c r="AD72" s="38">
        <f>IF(AQ72="7",BH72,0)</f>
        <v>0</v>
      </c>
      <c r="AE72" s="38">
        <f>IF(AQ72="7",BI72,0)</f>
        <v>0</v>
      </c>
      <c r="AF72" s="38">
        <f>IF(AQ72="2",BH72,0)</f>
        <v>0</v>
      </c>
      <c r="AG72" s="38">
        <f>IF(AQ72="2",BI72,0)</f>
        <v>0</v>
      </c>
      <c r="AH72" s="38">
        <f>IF(AQ72="0",BJ72,0)</f>
        <v>0</v>
      </c>
      <c r="AI72" s="37"/>
      <c r="AJ72" s="20">
        <f>IF(AN72=0,K72,0)</f>
        <v>0</v>
      </c>
      <c r="AK72" s="20">
        <f>IF(AN72=15,K72,0)</f>
        <v>0</v>
      </c>
      <c r="AL72" s="20">
        <f>IF(AN72=21,K72,0)</f>
        <v>0</v>
      </c>
      <c r="AN72" s="38">
        <v>21</v>
      </c>
      <c r="AO72" s="38">
        <f>H72*0.147644384979011</f>
        <v>0</v>
      </c>
      <c r="AP72" s="38">
        <f>H72*(1-0.147644384979011)</f>
        <v>0</v>
      </c>
      <c r="AQ72" s="39" t="s">
        <v>8</v>
      </c>
      <c r="AV72" s="38">
        <f>AW72+AX72</f>
        <v>0</v>
      </c>
      <c r="AW72" s="38">
        <f>G72*AO72</f>
        <v>0</v>
      </c>
      <c r="AX72" s="38">
        <f>G72*AP72</f>
        <v>0</v>
      </c>
      <c r="AY72" s="41" t="s">
        <v>249</v>
      </c>
      <c r="AZ72" s="41" t="s">
        <v>256</v>
      </c>
      <c r="BA72" s="37" t="s">
        <v>257</v>
      </c>
      <c r="BC72" s="38">
        <f>AW72+AX72</f>
        <v>0</v>
      </c>
      <c r="BD72" s="38">
        <f>H72/(100-BE72)*100</f>
        <v>0</v>
      </c>
      <c r="BE72" s="38">
        <v>0</v>
      </c>
      <c r="BF72" s="38">
        <f>72</f>
        <v>72</v>
      </c>
      <c r="BH72" s="20">
        <f>G72*AO72</f>
        <v>0</v>
      </c>
      <c r="BI72" s="20">
        <f>G72*AP72</f>
        <v>0</v>
      </c>
      <c r="BJ72" s="20">
        <f>G72*H72</f>
        <v>0</v>
      </c>
      <c r="BK72" s="20" t="s">
        <v>263</v>
      </c>
      <c r="BL72" s="38" t="s">
        <v>118</v>
      </c>
    </row>
    <row r="73" spans="1:64" ht="12.75">
      <c r="A73" s="4" t="s">
        <v>55</v>
      </c>
      <c r="B73" s="13" t="s">
        <v>111</v>
      </c>
      <c r="C73" s="64" t="s">
        <v>180</v>
      </c>
      <c r="D73" s="65"/>
      <c r="E73" s="65"/>
      <c r="F73" s="13" t="s">
        <v>205</v>
      </c>
      <c r="G73" s="20">
        <v>0.12292</v>
      </c>
      <c r="H73" s="20">
        <v>0</v>
      </c>
      <c r="I73" s="20">
        <f>G73*AO73</f>
        <v>0</v>
      </c>
      <c r="J73" s="20">
        <f>G73*AP73</f>
        <v>0</v>
      </c>
      <c r="K73" s="20">
        <f>G73*H73</f>
        <v>0</v>
      </c>
      <c r="L73" s="31" t="s">
        <v>227</v>
      </c>
      <c r="M73" s="35"/>
      <c r="Z73" s="38">
        <f>IF(AQ73="5",BJ73,0)</f>
        <v>0</v>
      </c>
      <c r="AB73" s="38">
        <f>IF(AQ73="1",BH73,0)</f>
        <v>0</v>
      </c>
      <c r="AC73" s="38">
        <f>IF(AQ73="1",BI73,0)</f>
        <v>0</v>
      </c>
      <c r="AD73" s="38">
        <f>IF(AQ73="7",BH73,0)</f>
        <v>0</v>
      </c>
      <c r="AE73" s="38">
        <f>IF(AQ73="7",BI73,0)</f>
        <v>0</v>
      </c>
      <c r="AF73" s="38">
        <f>IF(AQ73="2",BH73,0)</f>
        <v>0</v>
      </c>
      <c r="AG73" s="38">
        <f>IF(AQ73="2",BI73,0)</f>
        <v>0</v>
      </c>
      <c r="AH73" s="38">
        <f>IF(AQ73="0",BJ73,0)</f>
        <v>0</v>
      </c>
      <c r="AI73" s="37"/>
      <c r="AJ73" s="20">
        <f>IF(AN73=0,K73,0)</f>
        <v>0</v>
      </c>
      <c r="AK73" s="20">
        <f>IF(AN73=15,K73,0)</f>
        <v>0</v>
      </c>
      <c r="AL73" s="20">
        <f>IF(AN73=21,K73,0)</f>
        <v>0</v>
      </c>
      <c r="AN73" s="38">
        <v>21</v>
      </c>
      <c r="AO73" s="38">
        <f>H73*0</f>
        <v>0</v>
      </c>
      <c r="AP73" s="38">
        <f>H73*(1-0)</f>
        <v>0</v>
      </c>
      <c r="AQ73" s="39" t="s">
        <v>11</v>
      </c>
      <c r="AV73" s="38">
        <f>AW73+AX73</f>
        <v>0</v>
      </c>
      <c r="AW73" s="38">
        <f>G73*AO73</f>
        <v>0</v>
      </c>
      <c r="AX73" s="38">
        <f>G73*AP73</f>
        <v>0</v>
      </c>
      <c r="AY73" s="41" t="s">
        <v>249</v>
      </c>
      <c r="AZ73" s="41" t="s">
        <v>256</v>
      </c>
      <c r="BA73" s="37" t="s">
        <v>257</v>
      </c>
      <c r="BC73" s="38">
        <f>AW73+AX73</f>
        <v>0</v>
      </c>
      <c r="BD73" s="38">
        <f>H73/(100-BE73)*100</f>
        <v>0</v>
      </c>
      <c r="BE73" s="38">
        <v>0</v>
      </c>
      <c r="BF73" s="38">
        <f>73</f>
        <v>73</v>
      </c>
      <c r="BH73" s="20">
        <f>G73*AO73</f>
        <v>0</v>
      </c>
      <c r="BI73" s="20">
        <f>G73*AP73</f>
        <v>0</v>
      </c>
      <c r="BJ73" s="20">
        <f>G73*H73</f>
        <v>0</v>
      </c>
      <c r="BK73" s="20" t="s">
        <v>263</v>
      </c>
      <c r="BL73" s="38" t="s">
        <v>118</v>
      </c>
    </row>
    <row r="74" spans="1:47" ht="12.75">
      <c r="A74" s="5"/>
      <c r="B74" s="14" t="s">
        <v>120</v>
      </c>
      <c r="C74" s="72" t="s">
        <v>189</v>
      </c>
      <c r="D74" s="73"/>
      <c r="E74" s="73"/>
      <c r="F74" s="18" t="s">
        <v>6</v>
      </c>
      <c r="G74" s="18" t="s">
        <v>6</v>
      </c>
      <c r="H74" s="18" t="s">
        <v>6</v>
      </c>
      <c r="I74" s="44">
        <f>SUM(I75:I82)</f>
        <v>0</v>
      </c>
      <c r="J74" s="44">
        <f>SUM(J75:J82)</f>
        <v>0</v>
      </c>
      <c r="K74" s="44">
        <f>SUM(K75:K82)</f>
        <v>0</v>
      </c>
      <c r="L74" s="32"/>
      <c r="M74" s="35"/>
      <c r="AI74" s="37"/>
      <c r="AS74" s="44">
        <f>SUM(AJ75:AJ82)</f>
        <v>0</v>
      </c>
      <c r="AT74" s="44">
        <f>SUM(AK75:AK82)</f>
        <v>0</v>
      </c>
      <c r="AU74" s="44">
        <f>SUM(AL75:AL82)</f>
        <v>0</v>
      </c>
    </row>
    <row r="75" spans="1:64" ht="12.75">
      <c r="A75" s="4" t="s">
        <v>56</v>
      </c>
      <c r="B75" s="13" t="s">
        <v>121</v>
      </c>
      <c r="C75" s="64" t="s">
        <v>190</v>
      </c>
      <c r="D75" s="65"/>
      <c r="E75" s="65"/>
      <c r="F75" s="13" t="s">
        <v>205</v>
      </c>
      <c r="G75" s="20">
        <v>3</v>
      </c>
      <c r="H75" s="20">
        <v>0</v>
      </c>
      <c r="I75" s="20">
        <f aca="true" t="shared" si="66" ref="I75:I82">G75*AO75</f>
        <v>0</v>
      </c>
      <c r="J75" s="20">
        <f aca="true" t="shared" si="67" ref="J75:J82">G75*AP75</f>
        <v>0</v>
      </c>
      <c r="K75" s="20">
        <f aca="true" t="shared" si="68" ref="K75:K82">G75*H75</f>
        <v>0</v>
      </c>
      <c r="L75" s="31" t="s">
        <v>227</v>
      </c>
      <c r="M75" s="35"/>
      <c r="Z75" s="38">
        <f aca="true" t="shared" si="69" ref="Z75:Z82">IF(AQ75="5",BJ75,0)</f>
        <v>0</v>
      </c>
      <c r="AB75" s="38">
        <f aca="true" t="shared" si="70" ref="AB75:AB82">IF(AQ75="1",BH75,0)</f>
        <v>0</v>
      </c>
      <c r="AC75" s="38">
        <f aca="true" t="shared" si="71" ref="AC75:AC82">IF(AQ75="1",BI75,0)</f>
        <v>0</v>
      </c>
      <c r="AD75" s="38">
        <f aca="true" t="shared" si="72" ref="AD75:AD82">IF(AQ75="7",BH75,0)</f>
        <v>0</v>
      </c>
      <c r="AE75" s="38">
        <f aca="true" t="shared" si="73" ref="AE75:AE82">IF(AQ75="7",BI75,0)</f>
        <v>0</v>
      </c>
      <c r="AF75" s="38">
        <f aca="true" t="shared" si="74" ref="AF75:AF82">IF(AQ75="2",BH75,0)</f>
        <v>0</v>
      </c>
      <c r="AG75" s="38">
        <f aca="true" t="shared" si="75" ref="AG75:AG82">IF(AQ75="2",BI75,0)</f>
        <v>0</v>
      </c>
      <c r="AH75" s="38">
        <f aca="true" t="shared" si="76" ref="AH75:AH82">IF(AQ75="0",BJ75,0)</f>
        <v>0</v>
      </c>
      <c r="AI75" s="37"/>
      <c r="AJ75" s="20">
        <f aca="true" t="shared" si="77" ref="AJ75:AJ82">IF(AN75=0,K75,0)</f>
        <v>0</v>
      </c>
      <c r="AK75" s="20">
        <f aca="true" t="shared" si="78" ref="AK75:AK82">IF(AN75=15,K75,0)</f>
        <v>0</v>
      </c>
      <c r="AL75" s="20">
        <f aca="true" t="shared" si="79" ref="AL75:AL82">IF(AN75=21,K75,0)</f>
        <v>0</v>
      </c>
      <c r="AN75" s="38">
        <v>21</v>
      </c>
      <c r="AO75" s="38">
        <f aca="true" t="shared" si="80" ref="AO75:AO82">H75*0</f>
        <v>0</v>
      </c>
      <c r="AP75" s="38">
        <f aca="true" t="shared" si="81" ref="AP75:AP82">H75*(1-0)</f>
        <v>0</v>
      </c>
      <c r="AQ75" s="39" t="s">
        <v>11</v>
      </c>
      <c r="AV75" s="38">
        <f aca="true" t="shared" si="82" ref="AV75:AV82">AW75+AX75</f>
        <v>0</v>
      </c>
      <c r="AW75" s="38">
        <f aca="true" t="shared" si="83" ref="AW75:AW82">G75*AO75</f>
        <v>0</v>
      </c>
      <c r="AX75" s="38">
        <f aca="true" t="shared" si="84" ref="AX75:AX82">G75*AP75</f>
        <v>0</v>
      </c>
      <c r="AY75" s="41" t="s">
        <v>250</v>
      </c>
      <c r="AZ75" s="41" t="s">
        <v>256</v>
      </c>
      <c r="BA75" s="37" t="s">
        <v>257</v>
      </c>
      <c r="BC75" s="38">
        <f aca="true" t="shared" si="85" ref="BC75:BC82">AW75+AX75</f>
        <v>0</v>
      </c>
      <c r="BD75" s="38">
        <f aca="true" t="shared" si="86" ref="BD75:BD82">H75/(100-BE75)*100</f>
        <v>0</v>
      </c>
      <c r="BE75" s="38">
        <v>0</v>
      </c>
      <c r="BF75" s="38">
        <f>75</f>
        <v>75</v>
      </c>
      <c r="BH75" s="20">
        <f aca="true" t="shared" si="87" ref="BH75:BH82">G75*AO75</f>
        <v>0</v>
      </c>
      <c r="BI75" s="20">
        <f aca="true" t="shared" si="88" ref="BI75:BI82">G75*AP75</f>
        <v>0</v>
      </c>
      <c r="BJ75" s="20">
        <f aca="true" t="shared" si="89" ref="BJ75:BJ82">G75*H75</f>
        <v>0</v>
      </c>
      <c r="BK75" s="20" t="s">
        <v>263</v>
      </c>
      <c r="BL75" s="38" t="s">
        <v>120</v>
      </c>
    </row>
    <row r="76" spans="1:64" ht="12.75">
      <c r="A76" s="4" t="s">
        <v>57</v>
      </c>
      <c r="B76" s="13" t="s">
        <v>122</v>
      </c>
      <c r="C76" s="64" t="s">
        <v>191</v>
      </c>
      <c r="D76" s="65"/>
      <c r="E76" s="65"/>
      <c r="F76" s="13" t="s">
        <v>205</v>
      </c>
      <c r="G76" s="20">
        <v>30</v>
      </c>
      <c r="H76" s="20">
        <v>0</v>
      </c>
      <c r="I76" s="20">
        <f t="shared" si="66"/>
        <v>0</v>
      </c>
      <c r="J76" s="20">
        <f t="shared" si="67"/>
        <v>0</v>
      </c>
      <c r="K76" s="20">
        <f t="shared" si="68"/>
        <v>0</v>
      </c>
      <c r="L76" s="31" t="s">
        <v>227</v>
      </c>
      <c r="M76" s="35"/>
      <c r="Z76" s="38">
        <f t="shared" si="69"/>
        <v>0</v>
      </c>
      <c r="AB76" s="38">
        <f t="shared" si="70"/>
        <v>0</v>
      </c>
      <c r="AC76" s="38">
        <f t="shared" si="71"/>
        <v>0</v>
      </c>
      <c r="AD76" s="38">
        <f t="shared" si="72"/>
        <v>0</v>
      </c>
      <c r="AE76" s="38">
        <f t="shared" si="73"/>
        <v>0</v>
      </c>
      <c r="AF76" s="38">
        <f t="shared" si="74"/>
        <v>0</v>
      </c>
      <c r="AG76" s="38">
        <f t="shared" si="75"/>
        <v>0</v>
      </c>
      <c r="AH76" s="38">
        <f t="shared" si="76"/>
        <v>0</v>
      </c>
      <c r="AI76" s="37"/>
      <c r="AJ76" s="20">
        <f t="shared" si="77"/>
        <v>0</v>
      </c>
      <c r="AK76" s="20">
        <f t="shared" si="78"/>
        <v>0</v>
      </c>
      <c r="AL76" s="20">
        <f t="shared" si="79"/>
        <v>0</v>
      </c>
      <c r="AN76" s="38">
        <v>21</v>
      </c>
      <c r="AO76" s="38">
        <f t="shared" si="80"/>
        <v>0</v>
      </c>
      <c r="AP76" s="38">
        <f t="shared" si="81"/>
        <v>0</v>
      </c>
      <c r="AQ76" s="39" t="s">
        <v>11</v>
      </c>
      <c r="AV76" s="38">
        <f t="shared" si="82"/>
        <v>0</v>
      </c>
      <c r="AW76" s="38">
        <f t="shared" si="83"/>
        <v>0</v>
      </c>
      <c r="AX76" s="38">
        <f t="shared" si="84"/>
        <v>0</v>
      </c>
      <c r="AY76" s="41" t="s">
        <v>250</v>
      </c>
      <c r="AZ76" s="41" t="s">
        <v>256</v>
      </c>
      <c r="BA76" s="37" t="s">
        <v>257</v>
      </c>
      <c r="BC76" s="38">
        <f t="shared" si="85"/>
        <v>0</v>
      </c>
      <c r="BD76" s="38">
        <f t="shared" si="86"/>
        <v>0</v>
      </c>
      <c r="BE76" s="38">
        <v>0</v>
      </c>
      <c r="BF76" s="38">
        <f>76</f>
        <v>76</v>
      </c>
      <c r="BH76" s="20">
        <f t="shared" si="87"/>
        <v>0</v>
      </c>
      <c r="BI76" s="20">
        <f t="shared" si="88"/>
        <v>0</v>
      </c>
      <c r="BJ76" s="20">
        <f t="shared" si="89"/>
        <v>0</v>
      </c>
      <c r="BK76" s="20" t="s">
        <v>263</v>
      </c>
      <c r="BL76" s="38" t="s">
        <v>120</v>
      </c>
    </row>
    <row r="77" spans="1:64" ht="12.75">
      <c r="A77" s="4" t="s">
        <v>58</v>
      </c>
      <c r="B77" s="13" t="s">
        <v>123</v>
      </c>
      <c r="C77" s="64" t="s">
        <v>192</v>
      </c>
      <c r="D77" s="65"/>
      <c r="E77" s="65"/>
      <c r="F77" s="13" t="s">
        <v>205</v>
      </c>
      <c r="G77" s="20">
        <v>3</v>
      </c>
      <c r="H77" s="20">
        <v>0</v>
      </c>
      <c r="I77" s="20">
        <f t="shared" si="66"/>
        <v>0</v>
      </c>
      <c r="J77" s="20">
        <f t="shared" si="67"/>
        <v>0</v>
      </c>
      <c r="K77" s="20">
        <f t="shared" si="68"/>
        <v>0</v>
      </c>
      <c r="L77" s="31" t="s">
        <v>227</v>
      </c>
      <c r="M77" s="35"/>
      <c r="Z77" s="38">
        <f t="shared" si="69"/>
        <v>0</v>
      </c>
      <c r="AB77" s="38">
        <f t="shared" si="70"/>
        <v>0</v>
      </c>
      <c r="AC77" s="38">
        <f t="shared" si="71"/>
        <v>0</v>
      </c>
      <c r="AD77" s="38">
        <f t="shared" si="72"/>
        <v>0</v>
      </c>
      <c r="AE77" s="38">
        <f t="shared" si="73"/>
        <v>0</v>
      </c>
      <c r="AF77" s="38">
        <f t="shared" si="74"/>
        <v>0</v>
      </c>
      <c r="AG77" s="38">
        <f t="shared" si="75"/>
        <v>0</v>
      </c>
      <c r="AH77" s="38">
        <f t="shared" si="76"/>
        <v>0</v>
      </c>
      <c r="AI77" s="37"/>
      <c r="AJ77" s="20">
        <f t="shared" si="77"/>
        <v>0</v>
      </c>
      <c r="AK77" s="20">
        <f t="shared" si="78"/>
        <v>0</v>
      </c>
      <c r="AL77" s="20">
        <f t="shared" si="79"/>
        <v>0</v>
      </c>
      <c r="AN77" s="38">
        <v>21</v>
      </c>
      <c r="AO77" s="38">
        <f t="shared" si="80"/>
        <v>0</v>
      </c>
      <c r="AP77" s="38">
        <f t="shared" si="81"/>
        <v>0</v>
      </c>
      <c r="AQ77" s="39" t="s">
        <v>11</v>
      </c>
      <c r="AV77" s="38">
        <f t="shared" si="82"/>
        <v>0</v>
      </c>
      <c r="AW77" s="38">
        <f t="shared" si="83"/>
        <v>0</v>
      </c>
      <c r="AX77" s="38">
        <f t="shared" si="84"/>
        <v>0</v>
      </c>
      <c r="AY77" s="41" t="s">
        <v>250</v>
      </c>
      <c r="AZ77" s="41" t="s">
        <v>256</v>
      </c>
      <c r="BA77" s="37" t="s">
        <v>257</v>
      </c>
      <c r="BC77" s="38">
        <f t="shared" si="85"/>
        <v>0</v>
      </c>
      <c r="BD77" s="38">
        <f t="shared" si="86"/>
        <v>0</v>
      </c>
      <c r="BE77" s="38">
        <v>0</v>
      </c>
      <c r="BF77" s="38">
        <f>77</f>
        <v>77</v>
      </c>
      <c r="BH77" s="20">
        <f t="shared" si="87"/>
        <v>0</v>
      </c>
      <c r="BI77" s="20">
        <f t="shared" si="88"/>
        <v>0</v>
      </c>
      <c r="BJ77" s="20">
        <f t="shared" si="89"/>
        <v>0</v>
      </c>
      <c r="BK77" s="20" t="s">
        <v>263</v>
      </c>
      <c r="BL77" s="38" t="s">
        <v>120</v>
      </c>
    </row>
    <row r="78" spans="1:64" ht="12.75">
      <c r="A78" s="4" t="s">
        <v>59</v>
      </c>
      <c r="B78" s="13" t="s">
        <v>124</v>
      </c>
      <c r="C78" s="64" t="s">
        <v>193</v>
      </c>
      <c r="D78" s="65"/>
      <c r="E78" s="65"/>
      <c r="F78" s="13" t="s">
        <v>205</v>
      </c>
      <c r="G78" s="20">
        <v>30</v>
      </c>
      <c r="H78" s="20">
        <v>0</v>
      </c>
      <c r="I78" s="20">
        <f t="shared" si="66"/>
        <v>0</v>
      </c>
      <c r="J78" s="20">
        <f t="shared" si="67"/>
        <v>0</v>
      </c>
      <c r="K78" s="20">
        <f t="shared" si="68"/>
        <v>0</v>
      </c>
      <c r="L78" s="31" t="s">
        <v>227</v>
      </c>
      <c r="M78" s="35"/>
      <c r="Z78" s="38">
        <f t="shared" si="69"/>
        <v>0</v>
      </c>
      <c r="AB78" s="38">
        <f t="shared" si="70"/>
        <v>0</v>
      </c>
      <c r="AC78" s="38">
        <f t="shared" si="71"/>
        <v>0</v>
      </c>
      <c r="AD78" s="38">
        <f t="shared" si="72"/>
        <v>0</v>
      </c>
      <c r="AE78" s="38">
        <f t="shared" si="73"/>
        <v>0</v>
      </c>
      <c r="AF78" s="38">
        <f t="shared" si="74"/>
        <v>0</v>
      </c>
      <c r="AG78" s="38">
        <f t="shared" si="75"/>
        <v>0</v>
      </c>
      <c r="AH78" s="38">
        <f t="shared" si="76"/>
        <v>0</v>
      </c>
      <c r="AI78" s="37"/>
      <c r="AJ78" s="20">
        <f t="shared" si="77"/>
        <v>0</v>
      </c>
      <c r="AK78" s="20">
        <f t="shared" si="78"/>
        <v>0</v>
      </c>
      <c r="AL78" s="20">
        <f t="shared" si="79"/>
        <v>0</v>
      </c>
      <c r="AN78" s="38">
        <v>21</v>
      </c>
      <c r="AO78" s="38">
        <f t="shared" si="80"/>
        <v>0</v>
      </c>
      <c r="AP78" s="38">
        <f t="shared" si="81"/>
        <v>0</v>
      </c>
      <c r="AQ78" s="39" t="s">
        <v>11</v>
      </c>
      <c r="AV78" s="38">
        <f t="shared" si="82"/>
        <v>0</v>
      </c>
      <c r="AW78" s="38">
        <f t="shared" si="83"/>
        <v>0</v>
      </c>
      <c r="AX78" s="38">
        <f t="shared" si="84"/>
        <v>0</v>
      </c>
      <c r="AY78" s="41" t="s">
        <v>250</v>
      </c>
      <c r="AZ78" s="41" t="s">
        <v>256</v>
      </c>
      <c r="BA78" s="37" t="s">
        <v>257</v>
      </c>
      <c r="BC78" s="38">
        <f t="shared" si="85"/>
        <v>0</v>
      </c>
      <c r="BD78" s="38">
        <f t="shared" si="86"/>
        <v>0</v>
      </c>
      <c r="BE78" s="38">
        <v>0</v>
      </c>
      <c r="BF78" s="38">
        <f>78</f>
        <v>78</v>
      </c>
      <c r="BH78" s="20">
        <f t="shared" si="87"/>
        <v>0</v>
      </c>
      <c r="BI78" s="20">
        <f t="shared" si="88"/>
        <v>0</v>
      </c>
      <c r="BJ78" s="20">
        <f t="shared" si="89"/>
        <v>0</v>
      </c>
      <c r="BK78" s="20" t="s">
        <v>263</v>
      </c>
      <c r="BL78" s="38" t="s">
        <v>120</v>
      </c>
    </row>
    <row r="79" spans="1:64" ht="12.75">
      <c r="A79" s="4" t="s">
        <v>60</v>
      </c>
      <c r="B79" s="13" t="s">
        <v>125</v>
      </c>
      <c r="C79" s="64" t="s">
        <v>194</v>
      </c>
      <c r="D79" s="65"/>
      <c r="E79" s="65"/>
      <c r="F79" s="13" t="s">
        <v>205</v>
      </c>
      <c r="G79" s="20">
        <v>3</v>
      </c>
      <c r="H79" s="20">
        <v>0</v>
      </c>
      <c r="I79" s="20">
        <f t="shared" si="66"/>
        <v>0</v>
      </c>
      <c r="J79" s="20">
        <f t="shared" si="67"/>
        <v>0</v>
      </c>
      <c r="K79" s="20">
        <f t="shared" si="68"/>
        <v>0</v>
      </c>
      <c r="L79" s="31" t="s">
        <v>227</v>
      </c>
      <c r="M79" s="35"/>
      <c r="Z79" s="38">
        <f t="shared" si="69"/>
        <v>0</v>
      </c>
      <c r="AB79" s="38">
        <f t="shared" si="70"/>
        <v>0</v>
      </c>
      <c r="AC79" s="38">
        <f t="shared" si="71"/>
        <v>0</v>
      </c>
      <c r="AD79" s="38">
        <f t="shared" si="72"/>
        <v>0</v>
      </c>
      <c r="AE79" s="38">
        <f t="shared" si="73"/>
        <v>0</v>
      </c>
      <c r="AF79" s="38">
        <f t="shared" si="74"/>
        <v>0</v>
      </c>
      <c r="AG79" s="38">
        <f t="shared" si="75"/>
        <v>0</v>
      </c>
      <c r="AH79" s="38">
        <f t="shared" si="76"/>
        <v>0</v>
      </c>
      <c r="AI79" s="37"/>
      <c r="AJ79" s="20">
        <f t="shared" si="77"/>
        <v>0</v>
      </c>
      <c r="AK79" s="20">
        <f t="shared" si="78"/>
        <v>0</v>
      </c>
      <c r="AL79" s="20">
        <f t="shared" si="79"/>
        <v>0</v>
      </c>
      <c r="AN79" s="38">
        <v>21</v>
      </c>
      <c r="AO79" s="38">
        <f t="shared" si="80"/>
        <v>0</v>
      </c>
      <c r="AP79" s="38">
        <f t="shared" si="81"/>
        <v>0</v>
      </c>
      <c r="AQ79" s="39" t="s">
        <v>11</v>
      </c>
      <c r="AV79" s="38">
        <f t="shared" si="82"/>
        <v>0</v>
      </c>
      <c r="AW79" s="38">
        <f t="shared" si="83"/>
        <v>0</v>
      </c>
      <c r="AX79" s="38">
        <f t="shared" si="84"/>
        <v>0</v>
      </c>
      <c r="AY79" s="41" t="s">
        <v>250</v>
      </c>
      <c r="AZ79" s="41" t="s">
        <v>256</v>
      </c>
      <c r="BA79" s="37" t="s">
        <v>257</v>
      </c>
      <c r="BC79" s="38">
        <f t="shared" si="85"/>
        <v>0</v>
      </c>
      <c r="BD79" s="38">
        <f t="shared" si="86"/>
        <v>0</v>
      </c>
      <c r="BE79" s="38">
        <v>0</v>
      </c>
      <c r="BF79" s="38">
        <f>79</f>
        <v>79</v>
      </c>
      <c r="BH79" s="20">
        <f t="shared" si="87"/>
        <v>0</v>
      </c>
      <c r="BI79" s="20">
        <f t="shared" si="88"/>
        <v>0</v>
      </c>
      <c r="BJ79" s="20">
        <f t="shared" si="89"/>
        <v>0</v>
      </c>
      <c r="BK79" s="20" t="s">
        <v>263</v>
      </c>
      <c r="BL79" s="38" t="s">
        <v>120</v>
      </c>
    </row>
    <row r="80" spans="1:64" ht="12.75">
      <c r="A80" s="4" t="s">
        <v>61</v>
      </c>
      <c r="B80" s="13" t="s">
        <v>126</v>
      </c>
      <c r="C80" s="64" t="s">
        <v>195</v>
      </c>
      <c r="D80" s="65"/>
      <c r="E80" s="65"/>
      <c r="F80" s="13" t="s">
        <v>205</v>
      </c>
      <c r="G80" s="20">
        <v>3</v>
      </c>
      <c r="H80" s="20">
        <v>0</v>
      </c>
      <c r="I80" s="20">
        <f t="shared" si="66"/>
        <v>0</v>
      </c>
      <c r="J80" s="20">
        <f t="shared" si="67"/>
        <v>0</v>
      </c>
      <c r="K80" s="20">
        <f t="shared" si="68"/>
        <v>0</v>
      </c>
      <c r="L80" s="31" t="s">
        <v>227</v>
      </c>
      <c r="M80" s="35"/>
      <c r="Z80" s="38">
        <f t="shared" si="69"/>
        <v>0</v>
      </c>
      <c r="AB80" s="38">
        <f t="shared" si="70"/>
        <v>0</v>
      </c>
      <c r="AC80" s="38">
        <f t="shared" si="71"/>
        <v>0</v>
      </c>
      <c r="AD80" s="38">
        <f t="shared" si="72"/>
        <v>0</v>
      </c>
      <c r="AE80" s="38">
        <f t="shared" si="73"/>
        <v>0</v>
      </c>
      <c r="AF80" s="38">
        <f t="shared" si="74"/>
        <v>0</v>
      </c>
      <c r="AG80" s="38">
        <f t="shared" si="75"/>
        <v>0</v>
      </c>
      <c r="AH80" s="38">
        <f t="shared" si="76"/>
        <v>0</v>
      </c>
      <c r="AI80" s="37"/>
      <c r="AJ80" s="20">
        <f t="shared" si="77"/>
        <v>0</v>
      </c>
      <c r="AK80" s="20">
        <f t="shared" si="78"/>
        <v>0</v>
      </c>
      <c r="AL80" s="20">
        <f t="shared" si="79"/>
        <v>0</v>
      </c>
      <c r="AN80" s="38">
        <v>21</v>
      </c>
      <c r="AO80" s="38">
        <f t="shared" si="80"/>
        <v>0</v>
      </c>
      <c r="AP80" s="38">
        <f t="shared" si="81"/>
        <v>0</v>
      </c>
      <c r="AQ80" s="39" t="s">
        <v>11</v>
      </c>
      <c r="AV80" s="38">
        <f t="shared" si="82"/>
        <v>0</v>
      </c>
      <c r="AW80" s="38">
        <f t="shared" si="83"/>
        <v>0</v>
      </c>
      <c r="AX80" s="38">
        <f t="shared" si="84"/>
        <v>0</v>
      </c>
      <c r="AY80" s="41" t="s">
        <v>250</v>
      </c>
      <c r="AZ80" s="41" t="s">
        <v>256</v>
      </c>
      <c r="BA80" s="37" t="s">
        <v>257</v>
      </c>
      <c r="BC80" s="38">
        <f t="shared" si="85"/>
        <v>0</v>
      </c>
      <c r="BD80" s="38">
        <f t="shared" si="86"/>
        <v>0</v>
      </c>
      <c r="BE80" s="38">
        <v>0</v>
      </c>
      <c r="BF80" s="38">
        <f>80</f>
        <v>80</v>
      </c>
      <c r="BH80" s="20">
        <f t="shared" si="87"/>
        <v>0</v>
      </c>
      <c r="BI80" s="20">
        <f t="shared" si="88"/>
        <v>0</v>
      </c>
      <c r="BJ80" s="20">
        <f t="shared" si="89"/>
        <v>0</v>
      </c>
      <c r="BK80" s="20" t="s">
        <v>263</v>
      </c>
      <c r="BL80" s="38" t="s">
        <v>120</v>
      </c>
    </row>
    <row r="81" spans="1:64" ht="12.75">
      <c r="A81" s="4" t="s">
        <v>62</v>
      </c>
      <c r="B81" s="13" t="s">
        <v>127</v>
      </c>
      <c r="C81" s="64" t="s">
        <v>196</v>
      </c>
      <c r="D81" s="65"/>
      <c r="E81" s="65"/>
      <c r="F81" s="13" t="s">
        <v>205</v>
      </c>
      <c r="G81" s="20">
        <v>3</v>
      </c>
      <c r="H81" s="20">
        <v>0</v>
      </c>
      <c r="I81" s="20">
        <f t="shared" si="66"/>
        <v>0</v>
      </c>
      <c r="J81" s="20">
        <f t="shared" si="67"/>
        <v>0</v>
      </c>
      <c r="K81" s="20">
        <f t="shared" si="68"/>
        <v>0</v>
      </c>
      <c r="L81" s="31" t="s">
        <v>227</v>
      </c>
      <c r="M81" s="35"/>
      <c r="Z81" s="38">
        <f t="shared" si="69"/>
        <v>0</v>
      </c>
      <c r="AB81" s="38">
        <f t="shared" si="70"/>
        <v>0</v>
      </c>
      <c r="AC81" s="38">
        <f t="shared" si="71"/>
        <v>0</v>
      </c>
      <c r="AD81" s="38">
        <f t="shared" si="72"/>
        <v>0</v>
      </c>
      <c r="AE81" s="38">
        <f t="shared" si="73"/>
        <v>0</v>
      </c>
      <c r="AF81" s="38">
        <f t="shared" si="74"/>
        <v>0</v>
      </c>
      <c r="AG81" s="38">
        <f t="shared" si="75"/>
        <v>0</v>
      </c>
      <c r="AH81" s="38">
        <f t="shared" si="76"/>
        <v>0</v>
      </c>
      <c r="AI81" s="37"/>
      <c r="AJ81" s="20">
        <f t="shared" si="77"/>
        <v>0</v>
      </c>
      <c r="AK81" s="20">
        <f t="shared" si="78"/>
        <v>0</v>
      </c>
      <c r="AL81" s="20">
        <f t="shared" si="79"/>
        <v>0</v>
      </c>
      <c r="AN81" s="38">
        <v>21</v>
      </c>
      <c r="AO81" s="38">
        <f t="shared" si="80"/>
        <v>0</v>
      </c>
      <c r="AP81" s="38">
        <f t="shared" si="81"/>
        <v>0</v>
      </c>
      <c r="AQ81" s="39" t="s">
        <v>11</v>
      </c>
      <c r="AV81" s="38">
        <f t="shared" si="82"/>
        <v>0</v>
      </c>
      <c r="AW81" s="38">
        <f t="shared" si="83"/>
        <v>0</v>
      </c>
      <c r="AX81" s="38">
        <f t="shared" si="84"/>
        <v>0</v>
      </c>
      <c r="AY81" s="41" t="s">
        <v>250</v>
      </c>
      <c r="AZ81" s="41" t="s">
        <v>256</v>
      </c>
      <c r="BA81" s="37" t="s">
        <v>257</v>
      </c>
      <c r="BC81" s="38">
        <f t="shared" si="85"/>
        <v>0</v>
      </c>
      <c r="BD81" s="38">
        <f t="shared" si="86"/>
        <v>0</v>
      </c>
      <c r="BE81" s="38">
        <v>0</v>
      </c>
      <c r="BF81" s="38">
        <f>81</f>
        <v>81</v>
      </c>
      <c r="BH81" s="20">
        <f t="shared" si="87"/>
        <v>0</v>
      </c>
      <c r="BI81" s="20">
        <f t="shared" si="88"/>
        <v>0</v>
      </c>
      <c r="BJ81" s="20">
        <f t="shared" si="89"/>
        <v>0</v>
      </c>
      <c r="BK81" s="20" t="s">
        <v>263</v>
      </c>
      <c r="BL81" s="38" t="s">
        <v>120</v>
      </c>
    </row>
    <row r="82" spans="1:64" ht="12.75">
      <c r="A82" s="7" t="s">
        <v>63</v>
      </c>
      <c r="B82" s="16" t="s">
        <v>128</v>
      </c>
      <c r="C82" s="66" t="s">
        <v>197</v>
      </c>
      <c r="D82" s="67"/>
      <c r="E82" s="67"/>
      <c r="F82" s="16" t="s">
        <v>205</v>
      </c>
      <c r="G82" s="22">
        <v>1.1</v>
      </c>
      <c r="H82" s="22">
        <v>0</v>
      </c>
      <c r="I82" s="22">
        <f t="shared" si="66"/>
        <v>0</v>
      </c>
      <c r="J82" s="22">
        <f t="shared" si="67"/>
        <v>0</v>
      </c>
      <c r="K82" s="22">
        <f t="shared" si="68"/>
        <v>0</v>
      </c>
      <c r="L82" s="34" t="s">
        <v>227</v>
      </c>
      <c r="M82" s="35"/>
      <c r="Z82" s="38">
        <f t="shared" si="69"/>
        <v>0</v>
      </c>
      <c r="AB82" s="38">
        <f t="shared" si="70"/>
        <v>0</v>
      </c>
      <c r="AC82" s="38">
        <f t="shared" si="71"/>
        <v>0</v>
      </c>
      <c r="AD82" s="38">
        <f t="shared" si="72"/>
        <v>0</v>
      </c>
      <c r="AE82" s="38">
        <f t="shared" si="73"/>
        <v>0</v>
      </c>
      <c r="AF82" s="38">
        <f t="shared" si="74"/>
        <v>0</v>
      </c>
      <c r="AG82" s="38">
        <f t="shared" si="75"/>
        <v>0</v>
      </c>
      <c r="AH82" s="38">
        <f t="shared" si="76"/>
        <v>0</v>
      </c>
      <c r="AI82" s="37"/>
      <c r="AJ82" s="20">
        <f t="shared" si="77"/>
        <v>0</v>
      </c>
      <c r="AK82" s="20">
        <f t="shared" si="78"/>
        <v>0</v>
      </c>
      <c r="AL82" s="20">
        <f t="shared" si="79"/>
        <v>0</v>
      </c>
      <c r="AN82" s="38">
        <v>21</v>
      </c>
      <c r="AO82" s="38">
        <f t="shared" si="80"/>
        <v>0</v>
      </c>
      <c r="AP82" s="38">
        <f t="shared" si="81"/>
        <v>0</v>
      </c>
      <c r="AQ82" s="39" t="s">
        <v>11</v>
      </c>
      <c r="AV82" s="38">
        <f t="shared" si="82"/>
        <v>0</v>
      </c>
      <c r="AW82" s="38">
        <f t="shared" si="83"/>
        <v>0</v>
      </c>
      <c r="AX82" s="38">
        <f t="shared" si="84"/>
        <v>0</v>
      </c>
      <c r="AY82" s="41" t="s">
        <v>250</v>
      </c>
      <c r="AZ82" s="41" t="s">
        <v>256</v>
      </c>
      <c r="BA82" s="37" t="s">
        <v>257</v>
      </c>
      <c r="BC82" s="38">
        <f t="shared" si="85"/>
        <v>0</v>
      </c>
      <c r="BD82" s="38">
        <f t="shared" si="86"/>
        <v>0</v>
      </c>
      <c r="BE82" s="38">
        <v>0</v>
      </c>
      <c r="BF82" s="38">
        <f>82</f>
        <v>82</v>
      </c>
      <c r="BH82" s="20">
        <f t="shared" si="87"/>
        <v>0</v>
      </c>
      <c r="BI82" s="20">
        <f t="shared" si="88"/>
        <v>0</v>
      </c>
      <c r="BJ82" s="20">
        <f t="shared" si="89"/>
        <v>0</v>
      </c>
      <c r="BK82" s="20" t="s">
        <v>263</v>
      </c>
      <c r="BL82" s="38" t="s">
        <v>120</v>
      </c>
    </row>
    <row r="83" spans="1:12" ht="12.75">
      <c r="A83" s="8"/>
      <c r="B83" s="8"/>
      <c r="C83" s="8"/>
      <c r="D83" s="8"/>
      <c r="E83" s="8"/>
      <c r="F83" s="8"/>
      <c r="G83" s="8"/>
      <c r="H83" s="8"/>
      <c r="I83" s="68" t="s">
        <v>222</v>
      </c>
      <c r="J83" s="69"/>
      <c r="K83" s="45">
        <f>K12+K16+K19+K23+K27+K35+K42+K44+K50+K63+K66+K68+K71+K74</f>
        <v>0</v>
      </c>
      <c r="L83" s="8"/>
    </row>
    <row r="84" ht="11.25" customHeight="1">
      <c r="A84" s="9" t="s">
        <v>64</v>
      </c>
    </row>
    <row r="85" spans="1:12" ht="12.75">
      <c r="A85" s="70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</sheetData>
  <sheetProtection/>
  <mergeCells count="101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81:E81"/>
    <mergeCell ref="C82:E82"/>
    <mergeCell ref="I83:J83"/>
    <mergeCell ref="A85:L85"/>
    <mergeCell ref="C75:E75"/>
    <mergeCell ref="C76:E76"/>
    <mergeCell ref="C77:E77"/>
    <mergeCell ref="C78:E78"/>
    <mergeCell ref="C79:E79"/>
    <mergeCell ref="C80:E80"/>
  </mergeCells>
  <printOptions/>
  <pageMargins left="0.394" right="0.394" top="0.591" bottom="0.591" header="0.5" footer="0.5"/>
  <pageSetup fitToHeight="0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10" sqref="F10:G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42.28125" style="0" customWidth="1"/>
  </cols>
  <sheetData>
    <row r="1" spans="1:9" ht="72.75" customHeight="1">
      <c r="A1" s="63"/>
      <c r="B1" s="46"/>
      <c r="C1" s="127" t="s">
        <v>281</v>
      </c>
      <c r="D1" s="95"/>
      <c r="E1" s="95"/>
      <c r="F1" s="95"/>
      <c r="G1" s="95"/>
      <c r="H1" s="95"/>
      <c r="I1" s="95"/>
    </row>
    <row r="2" spans="1:10" ht="12.75">
      <c r="A2" s="96" t="s">
        <v>1</v>
      </c>
      <c r="B2" s="97"/>
      <c r="C2" s="98" t="str">
        <f>'Stavební rozpočet'!C2</f>
        <v>Výměna střešní krytiny na zbývající části budovy SEPŠ Studénka</v>
      </c>
      <c r="D2" s="69"/>
      <c r="E2" s="101" t="s">
        <v>213</v>
      </c>
      <c r="F2" s="101" t="str">
        <f>'Stavební rozpočet'!I2</f>
        <v> </v>
      </c>
      <c r="G2" s="97"/>
      <c r="H2" s="101" t="s">
        <v>306</v>
      </c>
      <c r="I2" s="128"/>
      <c r="J2" s="35"/>
    </row>
    <row r="3" spans="1:10" ht="25.5" customHeight="1">
      <c r="A3" s="93"/>
      <c r="B3" s="71"/>
      <c r="C3" s="99"/>
      <c r="D3" s="99"/>
      <c r="E3" s="71"/>
      <c r="F3" s="71"/>
      <c r="G3" s="71"/>
      <c r="H3" s="71"/>
      <c r="I3" s="91"/>
      <c r="J3" s="35"/>
    </row>
    <row r="4" spans="1:10" ht="12.75">
      <c r="A4" s="87" t="s">
        <v>2</v>
      </c>
      <c r="B4" s="71"/>
      <c r="C4" s="70" t="str">
        <f>'Stavební rozpočet'!C4</f>
        <v> </v>
      </c>
      <c r="D4" s="71"/>
      <c r="E4" s="70" t="s">
        <v>214</v>
      </c>
      <c r="F4" s="70" t="str">
        <f>'Stavební rozpočet'!I4</f>
        <v> </v>
      </c>
      <c r="G4" s="71"/>
      <c r="H4" s="70" t="s">
        <v>306</v>
      </c>
      <c r="I4" s="126"/>
      <c r="J4" s="35"/>
    </row>
    <row r="5" spans="1:10" ht="12.75">
      <c r="A5" s="93"/>
      <c r="B5" s="71"/>
      <c r="C5" s="71"/>
      <c r="D5" s="71"/>
      <c r="E5" s="71"/>
      <c r="F5" s="71"/>
      <c r="G5" s="71"/>
      <c r="H5" s="71"/>
      <c r="I5" s="91"/>
      <c r="J5" s="35"/>
    </row>
    <row r="6" spans="1:10" ht="12.75">
      <c r="A6" s="87" t="s">
        <v>3</v>
      </c>
      <c r="B6" s="71"/>
      <c r="C6" s="70" t="str">
        <f>'Stavební rozpočet'!C6</f>
        <v> </v>
      </c>
      <c r="D6" s="71"/>
      <c r="E6" s="70" t="s">
        <v>215</v>
      </c>
      <c r="F6" s="70" t="str">
        <f>'Stavební rozpočet'!I6</f>
        <v> </v>
      </c>
      <c r="G6" s="71"/>
      <c r="H6" s="70" t="s">
        <v>306</v>
      </c>
      <c r="I6" s="126"/>
      <c r="J6" s="35"/>
    </row>
    <row r="7" spans="1:10" ht="12.75">
      <c r="A7" s="93"/>
      <c r="B7" s="71"/>
      <c r="C7" s="71"/>
      <c r="D7" s="71"/>
      <c r="E7" s="71"/>
      <c r="F7" s="71"/>
      <c r="G7" s="71"/>
      <c r="H7" s="71"/>
      <c r="I7" s="91"/>
      <c r="J7" s="35"/>
    </row>
    <row r="8" spans="1:10" ht="12.75">
      <c r="A8" s="87" t="s">
        <v>199</v>
      </c>
      <c r="B8" s="71"/>
      <c r="C8" s="70"/>
      <c r="D8" s="71"/>
      <c r="E8" s="70" t="s">
        <v>200</v>
      </c>
      <c r="F8" s="70" t="str">
        <f>'Stavební rozpočet'!F6</f>
        <v> </v>
      </c>
      <c r="G8" s="71"/>
      <c r="H8" s="90" t="s">
        <v>307</v>
      </c>
      <c r="I8" s="126" t="s">
        <v>63</v>
      </c>
      <c r="J8" s="35"/>
    </row>
    <row r="9" spans="1:10" ht="12.75">
      <c r="A9" s="93"/>
      <c r="B9" s="71"/>
      <c r="C9" s="71"/>
      <c r="D9" s="71"/>
      <c r="E9" s="71"/>
      <c r="F9" s="71"/>
      <c r="G9" s="71"/>
      <c r="H9" s="71"/>
      <c r="I9" s="91"/>
      <c r="J9" s="35"/>
    </row>
    <row r="10" spans="1:10" ht="12.75">
      <c r="A10" s="87" t="s">
        <v>4</v>
      </c>
      <c r="B10" s="71"/>
      <c r="C10" s="70" t="str">
        <f>'Stavební rozpočet'!C8</f>
        <v> </v>
      </c>
      <c r="D10" s="71"/>
      <c r="E10" s="70" t="s">
        <v>216</v>
      </c>
      <c r="F10" s="70" t="str">
        <f>'Stavební rozpočet'!I8</f>
        <v> </v>
      </c>
      <c r="G10" s="71"/>
      <c r="H10" s="90" t="s">
        <v>308</v>
      </c>
      <c r="I10" s="124"/>
      <c r="J10" s="35"/>
    </row>
    <row r="11" spans="1:10" ht="12.75">
      <c r="A11" s="122"/>
      <c r="B11" s="123"/>
      <c r="C11" s="123"/>
      <c r="D11" s="123"/>
      <c r="E11" s="123"/>
      <c r="F11" s="123"/>
      <c r="G11" s="123"/>
      <c r="H11" s="123"/>
      <c r="I11" s="125"/>
      <c r="J11" s="35"/>
    </row>
    <row r="12" spans="1:9" ht="23.25" customHeight="1">
      <c r="A12" s="118" t="s">
        <v>266</v>
      </c>
      <c r="B12" s="119"/>
      <c r="C12" s="119"/>
      <c r="D12" s="119"/>
      <c r="E12" s="119"/>
      <c r="F12" s="119"/>
      <c r="G12" s="119"/>
      <c r="H12" s="119"/>
      <c r="I12" s="119"/>
    </row>
    <row r="13" spans="1:10" ht="26.25" customHeight="1">
      <c r="A13" s="47" t="s">
        <v>267</v>
      </c>
      <c r="B13" s="120" t="s">
        <v>279</v>
      </c>
      <c r="C13" s="121"/>
      <c r="D13" s="47" t="s">
        <v>282</v>
      </c>
      <c r="E13" s="120" t="s">
        <v>291</v>
      </c>
      <c r="F13" s="121"/>
      <c r="G13" s="47" t="s">
        <v>292</v>
      </c>
      <c r="H13" s="120" t="s">
        <v>309</v>
      </c>
      <c r="I13" s="121"/>
      <c r="J13" s="35"/>
    </row>
    <row r="14" spans="1:10" ht="15" customHeight="1">
      <c r="A14" s="48" t="s">
        <v>268</v>
      </c>
      <c r="B14" s="52" t="s">
        <v>280</v>
      </c>
      <c r="C14" s="56">
        <f>SUM('Stavební rozpočet'!AB12:AB82)</f>
        <v>0</v>
      </c>
      <c r="D14" s="116" t="s">
        <v>283</v>
      </c>
      <c r="E14" s="117"/>
      <c r="F14" s="56">
        <v>0</v>
      </c>
      <c r="G14" s="116" t="s">
        <v>293</v>
      </c>
      <c r="H14" s="117"/>
      <c r="I14" s="56">
        <v>0</v>
      </c>
      <c r="J14" s="35"/>
    </row>
    <row r="15" spans="1:10" ht="15" customHeight="1">
      <c r="A15" s="49"/>
      <c r="B15" s="52" t="s">
        <v>223</v>
      </c>
      <c r="C15" s="56">
        <f>SUM('Stavební rozpočet'!AC12:AC82)</f>
        <v>0</v>
      </c>
      <c r="D15" s="116" t="s">
        <v>284</v>
      </c>
      <c r="E15" s="117"/>
      <c r="F15" s="56">
        <v>0</v>
      </c>
      <c r="G15" s="116" t="s">
        <v>294</v>
      </c>
      <c r="H15" s="117"/>
      <c r="I15" s="56">
        <v>0</v>
      </c>
      <c r="J15" s="35"/>
    </row>
    <row r="16" spans="1:10" ht="15" customHeight="1">
      <c r="A16" s="48" t="s">
        <v>269</v>
      </c>
      <c r="B16" s="52" t="s">
        <v>280</v>
      </c>
      <c r="C16" s="56">
        <f>SUM('Stavební rozpočet'!AD12:AD82)</f>
        <v>0</v>
      </c>
      <c r="D16" s="116" t="s">
        <v>285</v>
      </c>
      <c r="E16" s="117"/>
      <c r="F16" s="56">
        <v>0</v>
      </c>
      <c r="G16" s="116" t="s">
        <v>295</v>
      </c>
      <c r="H16" s="117"/>
      <c r="I16" s="56">
        <v>0</v>
      </c>
      <c r="J16" s="35"/>
    </row>
    <row r="17" spans="1:10" ht="15" customHeight="1">
      <c r="A17" s="49"/>
      <c r="B17" s="52" t="s">
        <v>223</v>
      </c>
      <c r="C17" s="56">
        <f>SUM('Stavební rozpočet'!AE12:AE82)</f>
        <v>0</v>
      </c>
      <c r="D17" s="116"/>
      <c r="E17" s="117"/>
      <c r="F17" s="57"/>
      <c r="G17" s="116" t="s">
        <v>296</v>
      </c>
      <c r="H17" s="117"/>
      <c r="I17" s="56">
        <v>0</v>
      </c>
      <c r="J17" s="35"/>
    </row>
    <row r="18" spans="1:10" ht="15" customHeight="1">
      <c r="A18" s="48" t="s">
        <v>270</v>
      </c>
      <c r="B18" s="52" t="s">
        <v>280</v>
      </c>
      <c r="C18" s="56">
        <f>SUM('Stavební rozpočet'!AF12:AF82)</f>
        <v>0</v>
      </c>
      <c r="D18" s="116"/>
      <c r="E18" s="117"/>
      <c r="F18" s="57"/>
      <c r="G18" s="116" t="s">
        <v>297</v>
      </c>
      <c r="H18" s="117"/>
      <c r="I18" s="56">
        <v>0</v>
      </c>
      <c r="J18" s="35"/>
    </row>
    <row r="19" spans="1:10" ht="15" customHeight="1">
      <c r="A19" s="49"/>
      <c r="B19" s="52" t="s">
        <v>223</v>
      </c>
      <c r="C19" s="56">
        <f>SUM('Stavební rozpočet'!AG12:AG82)</f>
        <v>0</v>
      </c>
      <c r="D19" s="116"/>
      <c r="E19" s="117"/>
      <c r="F19" s="57"/>
      <c r="G19" s="116" t="s">
        <v>298</v>
      </c>
      <c r="H19" s="117"/>
      <c r="I19" s="56">
        <v>0</v>
      </c>
      <c r="J19" s="35"/>
    </row>
    <row r="20" spans="1:10" ht="15" customHeight="1">
      <c r="A20" s="114" t="s">
        <v>271</v>
      </c>
      <c r="B20" s="115"/>
      <c r="C20" s="56">
        <f>SUM('Stavební rozpočet'!AH12:AH82)</f>
        <v>0</v>
      </c>
      <c r="D20" s="116"/>
      <c r="E20" s="117"/>
      <c r="F20" s="57"/>
      <c r="G20" s="116"/>
      <c r="H20" s="117"/>
      <c r="I20" s="57"/>
      <c r="J20" s="35"/>
    </row>
    <row r="21" spans="1:10" ht="15" customHeight="1">
      <c r="A21" s="114" t="s">
        <v>272</v>
      </c>
      <c r="B21" s="115"/>
      <c r="C21" s="56">
        <f>SUM('Stavební rozpočet'!Z12:Z82)</f>
        <v>0</v>
      </c>
      <c r="D21" s="116"/>
      <c r="E21" s="117"/>
      <c r="F21" s="57"/>
      <c r="G21" s="116"/>
      <c r="H21" s="117"/>
      <c r="I21" s="57"/>
      <c r="J21" s="35"/>
    </row>
    <row r="22" spans="1:10" ht="16.5" customHeight="1">
      <c r="A22" s="114" t="s">
        <v>273</v>
      </c>
      <c r="B22" s="115"/>
      <c r="C22" s="56">
        <f>SUM(C14:C21)</f>
        <v>0</v>
      </c>
      <c r="D22" s="114" t="s">
        <v>286</v>
      </c>
      <c r="E22" s="115"/>
      <c r="F22" s="56">
        <f>SUM(F14:F21)</f>
        <v>0</v>
      </c>
      <c r="G22" s="114" t="s">
        <v>299</v>
      </c>
      <c r="H22" s="115"/>
      <c r="I22" s="56">
        <f>SUM(I14:I21)</f>
        <v>0</v>
      </c>
      <c r="J22" s="35"/>
    </row>
    <row r="23" spans="1:10" ht="15" customHeight="1">
      <c r="A23" s="8"/>
      <c r="B23" s="8"/>
      <c r="C23" s="54"/>
      <c r="D23" s="114" t="s">
        <v>287</v>
      </c>
      <c r="E23" s="115"/>
      <c r="F23" s="58">
        <v>0</v>
      </c>
      <c r="G23" s="114" t="s">
        <v>300</v>
      </c>
      <c r="H23" s="115"/>
      <c r="I23" s="56">
        <v>0</v>
      </c>
      <c r="J23" s="35"/>
    </row>
    <row r="24" spans="4:9" ht="15" customHeight="1">
      <c r="D24" s="8"/>
      <c r="E24" s="8"/>
      <c r="F24" s="59"/>
      <c r="G24" s="114" t="s">
        <v>301</v>
      </c>
      <c r="H24" s="115"/>
      <c r="I24" s="61"/>
    </row>
    <row r="25" spans="6:10" ht="15" customHeight="1">
      <c r="F25" s="60"/>
      <c r="G25" s="114" t="s">
        <v>302</v>
      </c>
      <c r="H25" s="115"/>
      <c r="I25" s="56">
        <v>0</v>
      </c>
      <c r="J25" s="35"/>
    </row>
    <row r="26" spans="1:9" ht="12.75">
      <c r="A26" s="46"/>
      <c r="B26" s="46"/>
      <c r="C26" s="46"/>
      <c r="G26" s="8"/>
      <c r="H26" s="8"/>
      <c r="I26" s="8"/>
    </row>
    <row r="27" spans="1:9" ht="15" customHeight="1">
      <c r="A27" s="109" t="s">
        <v>274</v>
      </c>
      <c r="B27" s="110"/>
      <c r="C27" s="62">
        <f>SUM('Stavební rozpočet'!AJ12:AJ82)</f>
        <v>0</v>
      </c>
      <c r="D27" s="55"/>
      <c r="E27" s="46"/>
      <c r="F27" s="46"/>
      <c r="G27" s="46"/>
      <c r="H27" s="46"/>
      <c r="I27" s="46"/>
    </row>
    <row r="28" spans="1:10" ht="15" customHeight="1">
      <c r="A28" s="109" t="s">
        <v>275</v>
      </c>
      <c r="B28" s="110"/>
      <c r="C28" s="62">
        <f>SUM('Stavební rozpočet'!AK12:AK82)</f>
        <v>0</v>
      </c>
      <c r="D28" s="109" t="s">
        <v>288</v>
      </c>
      <c r="E28" s="110"/>
      <c r="F28" s="62">
        <f>ROUND(C28*(15/100),2)</f>
        <v>0</v>
      </c>
      <c r="G28" s="109" t="s">
        <v>303</v>
      </c>
      <c r="H28" s="110"/>
      <c r="I28" s="62">
        <f>SUM(C27:C29)</f>
        <v>0</v>
      </c>
      <c r="J28" s="35"/>
    </row>
    <row r="29" spans="1:10" ht="15" customHeight="1">
      <c r="A29" s="109" t="s">
        <v>276</v>
      </c>
      <c r="B29" s="110"/>
      <c r="C29" s="62">
        <f>SUM('Stavební rozpočet'!AL12:AL82)+(F22+I22+F23+I23+I24+I25)</f>
        <v>0</v>
      </c>
      <c r="D29" s="109" t="s">
        <v>289</v>
      </c>
      <c r="E29" s="110"/>
      <c r="F29" s="62">
        <f>ROUND(C29*(21/100),2)</f>
        <v>0</v>
      </c>
      <c r="G29" s="109" t="s">
        <v>304</v>
      </c>
      <c r="H29" s="110"/>
      <c r="I29" s="62">
        <f>SUM(F28:F29)+I28</f>
        <v>0</v>
      </c>
      <c r="J29" s="35"/>
    </row>
    <row r="30" spans="1:9" ht="12.75">
      <c r="A30" s="50"/>
      <c r="B30" s="50"/>
      <c r="C30" s="50"/>
      <c r="D30" s="50"/>
      <c r="E30" s="50"/>
      <c r="F30" s="50"/>
      <c r="G30" s="50"/>
      <c r="H30" s="50"/>
      <c r="I30" s="50"/>
    </row>
    <row r="31" spans="1:10" ht="14.25" customHeight="1">
      <c r="A31" s="111" t="s">
        <v>277</v>
      </c>
      <c r="B31" s="112"/>
      <c r="C31" s="113"/>
      <c r="D31" s="111" t="s">
        <v>290</v>
      </c>
      <c r="E31" s="112"/>
      <c r="F31" s="113"/>
      <c r="G31" s="111" t="s">
        <v>305</v>
      </c>
      <c r="H31" s="112"/>
      <c r="I31" s="113"/>
      <c r="J31" s="36"/>
    </row>
    <row r="32" spans="1:10" ht="14.25" customHeight="1">
      <c r="A32" s="103"/>
      <c r="B32" s="104"/>
      <c r="C32" s="105"/>
      <c r="D32" s="103"/>
      <c r="E32" s="104"/>
      <c r="F32" s="105"/>
      <c r="G32" s="103"/>
      <c r="H32" s="104"/>
      <c r="I32" s="105"/>
      <c r="J32" s="36"/>
    </row>
    <row r="33" spans="1:10" ht="14.25" customHeight="1">
      <c r="A33" s="103"/>
      <c r="B33" s="104"/>
      <c r="C33" s="105"/>
      <c r="D33" s="103"/>
      <c r="E33" s="104"/>
      <c r="F33" s="105"/>
      <c r="G33" s="103"/>
      <c r="H33" s="104"/>
      <c r="I33" s="105"/>
      <c r="J33" s="36"/>
    </row>
    <row r="34" spans="1:10" ht="14.25" customHeight="1">
      <c r="A34" s="103"/>
      <c r="B34" s="104"/>
      <c r="C34" s="105"/>
      <c r="D34" s="103"/>
      <c r="E34" s="104"/>
      <c r="F34" s="105"/>
      <c r="G34" s="103"/>
      <c r="H34" s="104"/>
      <c r="I34" s="105"/>
      <c r="J34" s="36"/>
    </row>
    <row r="35" spans="1:10" ht="14.25" customHeight="1">
      <c r="A35" s="106" t="s">
        <v>278</v>
      </c>
      <c r="B35" s="107"/>
      <c r="C35" s="108"/>
      <c r="D35" s="106" t="s">
        <v>278</v>
      </c>
      <c r="E35" s="107"/>
      <c r="F35" s="108"/>
      <c r="G35" s="106" t="s">
        <v>278</v>
      </c>
      <c r="H35" s="107"/>
      <c r="I35" s="108"/>
      <c r="J35" s="36"/>
    </row>
    <row r="36" spans="1:9" ht="11.25" customHeight="1">
      <c r="A36" s="51" t="s">
        <v>64</v>
      </c>
      <c r="B36" s="53"/>
      <c r="C36" s="53"/>
      <c r="D36" s="53"/>
      <c r="E36" s="53"/>
      <c r="F36" s="53"/>
      <c r="G36" s="53"/>
      <c r="H36" s="53"/>
      <c r="I36" s="53"/>
    </row>
    <row r="37" spans="1:9" ht="12.75">
      <c r="A37" s="70"/>
      <c r="B37" s="71"/>
      <c r="C37" s="71"/>
      <c r="D37" s="71"/>
      <c r="E37" s="71"/>
      <c r="F37" s="71"/>
      <c r="G37" s="71"/>
      <c r="H37" s="71"/>
      <c r="I37" s="7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cp:lastPrinted>2021-05-18T09:02:56Z</cp:lastPrinted>
  <dcterms:modified xsi:type="dcterms:W3CDTF">2021-05-18T09:03:46Z</dcterms:modified>
  <cp:category/>
  <cp:version/>
  <cp:contentType/>
  <cp:contentStatus/>
</cp:coreProperties>
</file>