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<sst xmlns="http://schemas.openxmlformats.org/spreadsheetml/2006/main" count="898" uniqueCount="351">
  <si>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</si>
  <si>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</si>
  <si>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</si>
  <si>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</si>
  <si>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</si>
  <si>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</si>
  <si>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</si>
  <si>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</si>
  <si>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</si>
  <si>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</si>
  <si>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</si>
  <si>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</si>
  <si>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</si>
  <si>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</si>
  <si>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</si>
  <si>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</si>
  <si>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</si>
  <si>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</si>
  <si>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</si>
  <si>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</si>
  <si>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</si>
  <si>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</si>
  <si>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</si>
  <si>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</si>
  <si>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 xml:space="preserve">Finanční rezerva </t>
  </si>
  <si>
    <t xml:space="preserve">Kompletační činnost 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</si>
  <si>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</si>
  <si>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</si>
  <si>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</si>
  <si>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</si>
  <si>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</si>
  <si>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</si>
  <si>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</si>
  <si>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</si>
  <si>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</si>
  <si>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</si>
  <si>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</si>
  <si>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</si>
  <si>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</si>
  <si>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</si>
  <si>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</si>
  <si>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</si>
  <si>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</si>
  <si>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</si>
  <si>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</si>
  <si>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</si>
  <si>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</si>
  <si>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</si>
  <si>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</si>
  <si>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</si>
  <si>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</si>
  <si>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</si>
  <si>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</si>
  <si>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</si>
  <si>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</si>
  <si>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80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</si>
  <si>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</si>
  <si>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</si>
  <si>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</si>
  <si>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</si>
  <si>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</si>
  <si>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</si>
  <si>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</si>
  <si>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</si>
  <si>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</si>
  <si>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</si>
  <si>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</si>
  <si>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</si>
  <si>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</si>
  <si>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</si>
  <si>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</si>
  <si>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</si>
  <si>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</si>
  <si>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</si>
  <si>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</si>
  <si>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</si>
  <si>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</si>
  <si>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</si>
  <si>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</si>
  <si>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</si>
  <si>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</si>
  <si>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</si>
  <si>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</si>
  <si>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</si>
  <si>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</si>
  <si>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</si>
  <si>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</si>
  <si>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</si>
  <si>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</si>
  <si>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</si>
  <si>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</si>
  <si>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</si>
  <si>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</si>
  <si>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</si>
  <si>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</si>
  <si>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</si>
  <si>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</si>
  <si>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</si>
  <si>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</si>
  <si>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</si>
  <si>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</si>
  <si>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</si>
  <si>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</si>
  <si>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</si>
  <si>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</si>
  <si>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</si>
  <si>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</si>
  <si>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</si>
  <si>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</si>
  <si>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</si>
  <si>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</si>
  <si>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</si>
  <si>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</si>
  <si>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</si>
  <si>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</si>
  <si>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</si>
  <si>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</si>
  <si>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</si>
  <si>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</si>
  <si>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</si>
  <si>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</si>
  <si>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</si>
  <si>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</si>
  <si>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</si>
  <si>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</si>
  <si>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</si>
  <si>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</si>
  <si>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</si>
  <si>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</si>
  <si>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</si>
  <si>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</si>
  <si>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</si>
  <si>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</si>
  <si>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</si>
  <si>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</si>
  <si>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</si>
  <si>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</si>
  <si>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</si>
  <si>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Kód</t>
  </si>
  <si>
    <t>000VD</t>
  </si>
  <si>
    <t>0001VD</t>
  </si>
  <si>
    <t>0002VD</t>
  </si>
  <si>
    <t>0003VD</t>
  </si>
  <si>
    <t>0004VD</t>
  </si>
  <si>
    <t>0005VD</t>
  </si>
  <si>
    <t>0006VD</t>
  </si>
  <si>
    <t>273313611R00</t>
  </si>
  <si>
    <t>275351215RT1</t>
  </si>
  <si>
    <t>275351216R00</t>
  </si>
  <si>
    <t>998011001R00</t>
  </si>
  <si>
    <t>979091195R00</t>
  </si>
  <si>
    <t>281601114RA0</t>
  </si>
  <si>
    <t>281601113RA0</t>
  </si>
  <si>
    <t>281601111RA0</t>
  </si>
  <si>
    <t>342254611R00</t>
  </si>
  <si>
    <t>612474450RT3</t>
  </si>
  <si>
    <t>601011102R00</t>
  </si>
  <si>
    <t>601011112RT3</t>
  </si>
  <si>
    <t>601011141R00</t>
  </si>
  <si>
    <t>602022101R00</t>
  </si>
  <si>
    <t>602022121R00</t>
  </si>
  <si>
    <t>602022151R00</t>
  </si>
  <si>
    <t>602015102R00</t>
  </si>
  <si>
    <t>602011118RT1</t>
  </si>
  <si>
    <t>602011141R00</t>
  </si>
  <si>
    <t>564952111R00</t>
  </si>
  <si>
    <t>631312611RM1</t>
  </si>
  <si>
    <t>631313611RM1</t>
  </si>
  <si>
    <t>711</t>
  </si>
  <si>
    <t>619442431R00</t>
  </si>
  <si>
    <t>711111002RZ1</t>
  </si>
  <si>
    <t>711141559R00</t>
  </si>
  <si>
    <t>628522691</t>
  </si>
  <si>
    <t>998711101R00</t>
  </si>
  <si>
    <t>771</t>
  </si>
  <si>
    <t>781101121R00</t>
  </si>
  <si>
    <t>24616010</t>
  </si>
  <si>
    <t>771575109RU1</t>
  </si>
  <si>
    <t>597642030</t>
  </si>
  <si>
    <t>585820111</t>
  </si>
  <si>
    <t>771479001R00</t>
  </si>
  <si>
    <t>771130112R00</t>
  </si>
  <si>
    <t>771578011R00</t>
  </si>
  <si>
    <t>998771101R00</t>
  </si>
  <si>
    <t>784</t>
  </si>
  <si>
    <t>784191201R00</t>
  </si>
  <si>
    <t>784195412R00</t>
  </si>
  <si>
    <t>94</t>
  </si>
  <si>
    <t>941955002R00</t>
  </si>
  <si>
    <t>95</t>
  </si>
  <si>
    <t>953941312R00</t>
  </si>
  <si>
    <t>44984104</t>
  </si>
  <si>
    <t>96</t>
  </si>
  <si>
    <t>965042241RT4</t>
  </si>
  <si>
    <t>965200021RA0</t>
  </si>
  <si>
    <t>962031116R00</t>
  </si>
  <si>
    <t>968072455R00</t>
  </si>
  <si>
    <t>968071125R00</t>
  </si>
  <si>
    <t>952901111R00</t>
  </si>
  <si>
    <t>979011111R00</t>
  </si>
  <si>
    <t>97</t>
  </si>
  <si>
    <t>978013191R00</t>
  </si>
  <si>
    <t>978100010RA0</t>
  </si>
  <si>
    <t>978023411R00</t>
  </si>
  <si>
    <t>100001500R00</t>
  </si>
  <si>
    <t>S00</t>
  </si>
  <si>
    <t>979081111R00</t>
  </si>
  <si>
    <t>979081121R00</t>
  </si>
  <si>
    <t>979082111R00</t>
  </si>
  <si>
    <t>979082121R00</t>
  </si>
  <si>
    <t>979093111R00</t>
  </si>
  <si>
    <t>979999999R00</t>
  </si>
  <si>
    <t>Zkrácený popis</t>
  </si>
  <si>
    <t>Rozměry</t>
  </si>
  <si>
    <t>Vlastní</t>
  </si>
  <si>
    <t>D+M Elektroinstalace</t>
  </si>
  <si>
    <t>D+M Topení</t>
  </si>
  <si>
    <t>D+M Otevíravé, výklopne okno v plastovém rámu 900/1080 mm</t>
  </si>
  <si>
    <t>D+M Vnitřní dělící příčky z ocelových sloupků a pletiva místnost 0.03 (včetně úpravy stávajících dělících příček místnosti 0.02)</t>
  </si>
  <si>
    <t>D+M Vybavení šaten lavicemi a úchyty k odkládání oblečení</t>
  </si>
  <si>
    <t>D+M Oprava stávající potrubí umístěného pod stropem</t>
  </si>
  <si>
    <t>Základy</t>
  </si>
  <si>
    <t>Beton základových desek prostý C 16/20 (pro betonáž dvou schodů)</t>
  </si>
  <si>
    <t>Bednění stěn základových patek - zřízení</t>
  </si>
  <si>
    <t>Bednění stěn základových patek - odstranění</t>
  </si>
  <si>
    <t>Přesun hmot pro budovy zděné výšky do 6 m</t>
  </si>
  <si>
    <t>Příplatek za vodorovné přemíst. hmot při rekonst.</t>
  </si>
  <si>
    <t>Zpevňování hornin a konstrukcí</t>
  </si>
  <si>
    <t>Injektáž zdiva cihlového tl. 90 cm</t>
  </si>
  <si>
    <t>Injektáž zdiva cihlového tl. 50 cm</t>
  </si>
  <si>
    <t>Injektáž zdiva cihlového tl. 30 cm</t>
  </si>
  <si>
    <t>Stěny a příčky</t>
  </si>
  <si>
    <t>Příčky z desek pórobetonových tl. 100 mm</t>
  </si>
  <si>
    <t>Omítka stěn vnitřní tenkovrstvá sádrová - štuk (včetně penetrace porobetonu)</t>
  </si>
  <si>
    <t>Omítky ze suchých směsí</t>
  </si>
  <si>
    <t>Postřik stropů cementový</t>
  </si>
  <si>
    <t>Omítka stropů jádrová</t>
  </si>
  <si>
    <t>Štuk na stropech, ručně</t>
  </si>
  <si>
    <t>Postřik stěn sanační (do výšky 1,2m)</t>
  </si>
  <si>
    <t>Omítka podkladní sanační (do výšky 1,2m)</t>
  </si>
  <si>
    <t>Omítka jádrová sanační (do výšky 1,2m)</t>
  </si>
  <si>
    <t>Štuk na stěnách sanační, ručně (do výšky 1,2m)</t>
  </si>
  <si>
    <t>Postřik stěn cementový</t>
  </si>
  <si>
    <t>Omítka stěn jádrová vápenná vrstva 1</t>
  </si>
  <si>
    <t>Omítka stěn jádrová vápenná vrstva 2</t>
  </si>
  <si>
    <t>Štuk na stěnách vnitřní, ručně</t>
  </si>
  <si>
    <t>Podlahy a podlahové konstrukce</t>
  </si>
  <si>
    <t>Podklad z mechanicky zpevněného kameniva tl. 15 cm</t>
  </si>
  <si>
    <t>Mazanina betonová tl. 7 cm C 16/20</t>
  </si>
  <si>
    <t>Mazanina betonová tl. 10 cm C 16/20</t>
  </si>
  <si>
    <t>Izolace proti vodě</t>
  </si>
  <si>
    <t>Vytažení fabionů (v místě napojení svisle a vodorovné izolace)</t>
  </si>
  <si>
    <t>D+M Izolace proti vlhk.vodor. nátěr asf.lak za studena (penetrace)</t>
  </si>
  <si>
    <t>Izolace proti vlhk. vodorovná pásy přitavením (až po hydroizolační clonu - injektáž)</t>
  </si>
  <si>
    <t>Pás modifikovaný asfalt Glastek AL 40 mineral</t>
  </si>
  <si>
    <t>Přesun hmot pro izolace proti vodě, výšky do 6 m</t>
  </si>
  <si>
    <t>Podlahy z dlaždic</t>
  </si>
  <si>
    <t>Provedení penetrace podkladu - práce</t>
  </si>
  <si>
    <t>Penetrace podlahová PP vodou ředitelná po 10 kg</t>
  </si>
  <si>
    <t>Montáž podlah keram.,hladké, tmel, 30x30 cm</t>
  </si>
  <si>
    <t>Dlažba Taurus Granit matná 300x300x9 mm</t>
  </si>
  <si>
    <t>Příplatek - ARDEX FB 9 L flex. lepidlo pro celoplošné lepení</t>
  </si>
  <si>
    <t>Řezání dlaždic po obvodu podlahy</t>
  </si>
  <si>
    <t>Obklad soklíků rovných do tmele výšky do 150 mm</t>
  </si>
  <si>
    <t>Řezání dlaždic keramických pro soklíky</t>
  </si>
  <si>
    <t>Spára podlaha - stěna, silikonem</t>
  </si>
  <si>
    <t>Přesun hmot pro podlahy z dlaždic, výšky do 6 m</t>
  </si>
  <si>
    <t>Malby</t>
  </si>
  <si>
    <t>Penetrace podkladu před malbou</t>
  </si>
  <si>
    <t>Lešení a stavební výtahy</t>
  </si>
  <si>
    <t>Lešení lehké pomocné, výška podlahy do 1,9 m</t>
  </si>
  <si>
    <t>Různé dokončovací konstrukce a práce na pozemních stavbách</t>
  </si>
  <si>
    <t>Osazení požárního hasicího přístroje na stěnu</t>
  </si>
  <si>
    <t>Přístroj hasicí práškový PG4LE</t>
  </si>
  <si>
    <t>Bourání konstrukcí</t>
  </si>
  <si>
    <t>Bourání mazanin betonových tl. nad 10 cm, nad 4 m2</t>
  </si>
  <si>
    <t>Odstranění násypů pod podlahami a na střechách</t>
  </si>
  <si>
    <t>Bourání příček z cihel pálených plných tl. 140 mm</t>
  </si>
  <si>
    <t>Vybourání kovových dveřních zárubní pl. do 2 m2</t>
  </si>
  <si>
    <t>Vyvěšení, zavěšení kovových křídel dveří pl. 2 m2</t>
  </si>
  <si>
    <t>Vyčištění místnosti po bourání</t>
  </si>
  <si>
    <t>Svislá doprava suti a vybour. hmot za 2.NP a 1.PP</t>
  </si>
  <si>
    <t>Prorážení otvorů a ostatní bourací práce</t>
  </si>
  <si>
    <t>Otlučení omítek vnitřních stěn v rozsahu do 100 %</t>
  </si>
  <si>
    <t>Otlučení vnitřních omítek stropů vápenocem. 100 %</t>
  </si>
  <si>
    <t>Vysekání a úprava spár zdiva cihelného mimo komín.</t>
  </si>
  <si>
    <t>Dočištění stěny</t>
  </si>
  <si>
    <t>Běžné stavební práce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</si>
  <si>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</si>
  <si>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</si>
  <si>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</si>
  <si>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</si>
  <si>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Uložení suti na skládku bez zhutnění</t>
  </si>
  <si>
    <t>Poplatek za skládku 10 % příměsí</t>
  </si>
  <si>
    <t>Doba výstavby:</t>
  </si>
  <si>
    <t>Zpracováno dne:</t>
  </si>
  <si>
    <t>MJ</t>
  </si>
  <si>
    <t>m3</t>
  </si>
  <si>
    <t>m2</t>
  </si>
  <si>
    <t>t</t>
  </si>
  <si>
    <t>m</t>
  </si>
  <si>
    <t>kg</t>
  </si>
  <si>
    <t>kus</t>
  </si>
  <si>
    <t>Množství</t>
  </si>
  <si>
    <t>Cena/MJ</t>
  </si>
  <si>
    <t>(Kč)</t>
  </si>
  <si>
    <t> </t>
  </si>
  <si>
    <t>Náklady (Kč)</t>
  </si>
  <si>
    <t>Dodávka</t>
  </si>
  <si>
    <t>Celkem: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</si>
  <si>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</si>
  <si>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</si>
  <si>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</si>
  <si>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</si>
  <si>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</si>
  <si>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</si>
  <si>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</si>
  <si>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</si>
  <si>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</si>
  <si>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</si>
  <si>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</si>
  <si>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</si>
  <si>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</si>
  <si>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000VD_</t>
  </si>
  <si>
    <t>27_</t>
  </si>
  <si>
    <t>28_</t>
  </si>
  <si>
    <t>34_</t>
  </si>
  <si>
    <t>60_</t>
  </si>
  <si>
    <t>63_</t>
  </si>
  <si>
    <t>711_</t>
  </si>
  <si>
    <t>771_</t>
  </si>
  <si>
    <t>784_</t>
  </si>
  <si>
    <t>94_</t>
  </si>
  <si>
    <t>95_</t>
  </si>
  <si>
    <t>96_</t>
  </si>
  <si>
    <t>97_</t>
  </si>
  <si>
    <t>S00_</t>
  </si>
  <si>
    <t>0_</t>
  </si>
  <si>
    <t>2_</t>
  </si>
  <si>
    <t>3_</t>
  </si>
  <si>
    <t>6_</t>
  </si>
  <si>
    <t>71_</t>
  </si>
  <si>
    <t>77_</t>
  </si>
  <si>
    <t>78_</t>
  </si>
  <si>
    <t>9_</t>
  </si>
  <si>
    <t>_</t>
  </si>
  <si>
    <t>MAT</t>
  </si>
  <si>
    <t>WORK</t>
  </si>
  <si>
    <t>CELK</t>
  </si>
  <si>
    <t>STAVEBNÍ ÚPRAVY PROSTORU ŠATNY V SUTERÉNU ZŠ BUTOVICKÁ</t>
  </si>
  <si>
    <t>Malba vápenná, bílá, bez penetrace, 2 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</si>
</sst>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6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4" fillId="33" borderId="25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16" xfId="0" applyNumberFormat="1" applyFont="1" applyFill="1" applyBorder="1" applyAlignment="1" applyProtection="1">
      <alignment horizontal="right" vertical="center"/>
      <protection/>
    </xf>
    <xf numFmtId="4" fontId="13" fillId="34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38" xfId="0" applyNumberFormat="1" applyFont="1" applyFill="1" applyBorder="1" applyAlignment="1" applyProtection="1">
      <alignment horizontal="left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49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13" fillId="3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4"/>
      <c r="B1" s="1"/>
      <c r="C1" s="57" t="s">
        <v>22</v>
      </c>
      <c r="D1" s="58"/>
      <c r="E1" s="58"/>
      <c r="F1" s="58"/>
      <c r="G1" s="58"/>
      <c r="H1" s="58"/>
      <c r="I1" s="58"/>
    </row>
    <row r="2" spans="1:10" ht="12.75">
      <c r="A2" s="59" t="s">
        <v>0</v>
      </c>
      <c r="B2" s="60"/>
      <c r="C2" s="63" t="str">
        <f>'Stavební rozpočet'!C2</f>
        <v>STAVEBNÍ ÚPRAVY PROSTORU ŠATNY V SUTERÉNU ZŠ BUTOVICKÁ</v>
      </c>
      <c r="D2" s="64"/>
      <c r="E2" s="66" t="s">
        <v>31</v>
      </c>
      <c r="F2" s="66" t="str">
        <f>'Stavební rozpočet'!I2</f>
        <v> </v>
      </c>
      <c r="G2" s="60"/>
      <c r="H2" s="66" t="s">
        <v>51</v>
      </c>
      <c r="I2" s="67"/>
      <c r="J2" s="18"/>
    </row>
    <row r="3" spans="1:10" ht="28.5" customHeight="1">
      <c r="A3" s="61"/>
      <c r="B3" s="62"/>
      <c r="C3" s="65"/>
      <c r="D3" s="65"/>
      <c r="E3" s="62"/>
      <c r="F3" s="62"/>
      <c r="G3" s="62"/>
      <c r="H3" s="62"/>
      <c r="I3" s="68"/>
      <c r="J3" s="18"/>
    </row>
    <row r="4" spans="1:10" ht="12.75">
      <c r="A4" s="69" t="s">
        <v>1</v>
      </c>
      <c r="B4" s="62"/>
      <c r="C4" s="70" t="str">
        <f>'Stavební rozpočet'!C4</f>
        <v> </v>
      </c>
      <c r="D4" s="62"/>
      <c r="E4" s="70" t="s">
        <v>32</v>
      </c>
      <c r="F4" s="70" t="str">
        <f>'Stavební rozpočet'!I4</f>
        <v> </v>
      </c>
      <c r="G4" s="62"/>
      <c r="H4" s="70" t="s">
        <v>51</v>
      </c>
      <c r="I4" s="71"/>
      <c r="J4" s="18"/>
    </row>
    <row r="5" spans="1:10" ht="12.75">
      <c r="A5" s="61"/>
      <c r="B5" s="62"/>
      <c r="C5" s="62"/>
      <c r="D5" s="62"/>
      <c r="E5" s="62"/>
      <c r="F5" s="62"/>
      <c r="G5" s="62"/>
      <c r="H5" s="62"/>
      <c r="I5" s="68"/>
      <c r="J5" s="18"/>
    </row>
    <row r="6" spans="1:10" ht="12.75">
      <c r="A6" s="69" t="s">
        <v>2</v>
      </c>
      <c r="B6" s="62"/>
      <c r="C6" s="70" t="str">
        <f>'Stavební rozpočet'!C6</f>
        <v> </v>
      </c>
      <c r="D6" s="62"/>
      <c r="E6" s="70" t="s">
        <v>33</v>
      </c>
      <c r="F6" s="70" t="str">
        <f>'Stavební rozpočet'!I6</f>
        <v> </v>
      </c>
      <c r="G6" s="62"/>
      <c r="H6" s="70" t="s">
        <v>51</v>
      </c>
      <c r="I6" s="71"/>
      <c r="J6" s="18"/>
    </row>
    <row r="7" spans="1:10" ht="12.75">
      <c r="A7" s="61"/>
      <c r="B7" s="62"/>
      <c r="C7" s="62"/>
      <c r="D7" s="62"/>
      <c r="E7" s="62"/>
      <c r="F7" s="62"/>
      <c r="G7" s="62"/>
      <c r="H7" s="62"/>
      <c r="I7" s="68"/>
      <c r="J7" s="18"/>
    </row>
    <row r="8" spans="1:10" ht="12.75">
      <c r="A8" s="69" t="s">
        <v>3</v>
      </c>
      <c r="B8" s="62"/>
      <c r="C8" s="70" t="str">
        <f>'Stavební rozpočet'!F4</f>
        <v> </v>
      </c>
      <c r="D8" s="62"/>
      <c r="E8" s="70" t="s">
        <v>34</v>
      </c>
      <c r="F8" s="70" t="str">
        <f>'Stavební rozpočet'!F6</f>
        <v> </v>
      </c>
      <c r="G8" s="62"/>
      <c r="H8" s="72" t="s">
        <v>52</v>
      </c>
      <c r="I8" s="71" t="s">
        <v>55</v>
      </c>
      <c r="J8" s="18"/>
    </row>
    <row r="9" spans="1:10" ht="12.75">
      <c r="A9" s="61"/>
      <c r="B9" s="62"/>
      <c r="C9" s="62"/>
      <c r="D9" s="62"/>
      <c r="E9" s="62"/>
      <c r="F9" s="62"/>
      <c r="G9" s="62"/>
      <c r="H9" s="62"/>
      <c r="I9" s="68"/>
      <c r="J9" s="18"/>
    </row>
    <row r="10" spans="1:10" ht="12.75">
      <c r="A10" s="69" t="s">
        <v>4</v>
      </c>
      <c r="B10" s="62"/>
      <c r="C10" s="70" t="str">
        <f>'Stavební rozpočet'!C8</f>
        <v> </v>
      </c>
      <c r="D10" s="62"/>
      <c r="E10" s="70" t="s">
        <v>35</v>
      </c>
      <c r="F10" s="70" t="str">
        <f>'Stavební rozpočet'!I8</f>
        <v> </v>
      </c>
      <c r="G10" s="62"/>
      <c r="H10" s="72" t="s">
        <v>53</v>
      </c>
      <c r="I10" s="75"/>
      <c r="J10" s="18"/>
    </row>
    <row r="11" spans="1:10" ht="12.75">
      <c r="A11" s="73"/>
      <c r="B11" s="74"/>
      <c r="C11" s="74"/>
      <c r="D11" s="74"/>
      <c r="E11" s="74"/>
      <c r="F11" s="74"/>
      <c r="G11" s="74"/>
      <c r="H11" s="74"/>
      <c r="I11" s="76"/>
      <c r="J11" s="18"/>
    </row>
    <row r="12" spans="1:9" ht="23.25" customHeight="1">
      <c r="A12" s="77" t="s">
        <v>5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2" t="s">
        <v>6</v>
      </c>
      <c r="B13" s="79" t="s">
        <v>19</v>
      </c>
      <c r="C13" s="80"/>
      <c r="D13" s="2" t="s">
        <v>23</v>
      </c>
      <c r="E13" s="79" t="s">
        <v>36</v>
      </c>
      <c r="F13" s="80"/>
      <c r="G13" s="2" t="s">
        <v>37</v>
      </c>
      <c r="H13" s="79" t="s">
        <v>54</v>
      </c>
      <c r="I13" s="80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rozpočet'!AB12:AB105)</f>
        <v>0</v>
      </c>
      <c r="D14" s="81" t="s">
        <v>24</v>
      </c>
      <c r="E14" s="82"/>
      <c r="F14" s="12">
        <v>0</v>
      </c>
      <c r="G14" s="81" t="s">
        <v>38</v>
      </c>
      <c r="H14" s="82"/>
      <c r="I14" s="12">
        <v>0</v>
      </c>
      <c r="J14" s="18"/>
    </row>
    <row r="15" spans="1:10" ht="15" customHeight="1">
      <c r="A15" s="4"/>
      <c r="B15" s="8" t="s">
        <v>21</v>
      </c>
      <c r="C15" s="12">
        <f>SUM('Stavební rozpočet'!AC12:AC105)</f>
        <v>0</v>
      </c>
      <c r="D15" s="81" t="s">
        <v>25</v>
      </c>
      <c r="E15" s="82"/>
      <c r="F15" s="12">
        <v>0</v>
      </c>
      <c r="G15" s="81" t="s">
        <v>39</v>
      </c>
      <c r="H15" s="82"/>
      <c r="I15" s="12"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rozpočet'!AD12:AD105)</f>
        <v>0</v>
      </c>
      <c r="D16" s="81"/>
      <c r="E16" s="82"/>
      <c r="F16" s="12">
        <v>0</v>
      </c>
      <c r="G16" s="81" t="s">
        <v>40</v>
      </c>
      <c r="H16" s="82"/>
      <c r="I16" s="12">
        <v>0</v>
      </c>
      <c r="J16" s="18"/>
    </row>
    <row r="17" spans="1:10" ht="15" customHeight="1">
      <c r="A17" s="4"/>
      <c r="B17" s="8" t="s">
        <v>21</v>
      </c>
      <c r="C17" s="12">
        <f>SUM('Stavební rozpočet'!AE12:AE105)</f>
        <v>0</v>
      </c>
      <c r="D17" s="81"/>
      <c r="E17" s="82"/>
      <c r="F17" s="13"/>
      <c r="G17" s="81" t="s">
        <v>41</v>
      </c>
      <c r="H17" s="82"/>
      <c r="I17" s="12"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rozpočet'!AF12:AF105)</f>
        <v>0</v>
      </c>
      <c r="D18" s="81"/>
      <c r="E18" s="82"/>
      <c r="F18" s="13"/>
      <c r="G18" s="81" t="s">
        <v>42</v>
      </c>
      <c r="H18" s="82"/>
      <c r="I18" s="12">
        <v>0</v>
      </c>
      <c r="J18" s="18"/>
    </row>
    <row r="19" spans="1:10" ht="15" customHeight="1">
      <c r="A19" s="4"/>
      <c r="B19" s="8" t="s">
        <v>21</v>
      </c>
      <c r="C19" s="12">
        <f>SUM('Stavební rozpočet'!AG12:AG105)</f>
        <v>0</v>
      </c>
      <c r="D19" s="81"/>
      <c r="E19" s="82"/>
      <c r="F19" s="13"/>
      <c r="G19" s="81" t="s">
        <v>43</v>
      </c>
      <c r="H19" s="82"/>
      <c r="I19" s="12">
        <v>0</v>
      </c>
      <c r="J19" s="18"/>
    </row>
    <row r="20" spans="1:10" ht="15" customHeight="1">
      <c r="A20" s="83" t="s">
        <v>10</v>
      </c>
      <c r="B20" s="84"/>
      <c r="C20" s="12">
        <f>SUM('Stavební rozpočet'!AH12:AH105)</f>
        <v>0</v>
      </c>
      <c r="D20" s="81"/>
      <c r="E20" s="82"/>
      <c r="F20" s="13"/>
      <c r="G20" s="81"/>
      <c r="H20" s="82"/>
      <c r="I20" s="13"/>
      <c r="J20" s="18"/>
    </row>
    <row r="21" spans="1:10" ht="15" customHeight="1">
      <c r="A21" s="83" t="s">
        <v>11</v>
      </c>
      <c r="B21" s="84"/>
      <c r="C21" s="12">
        <f>SUM('Stavební rozpočet'!Z12:Z105)</f>
        <v>0</v>
      </c>
      <c r="D21" s="81"/>
      <c r="E21" s="82"/>
      <c r="F21" s="13"/>
      <c r="G21" s="81"/>
      <c r="H21" s="82"/>
      <c r="I21" s="13"/>
      <c r="J21" s="18"/>
    </row>
    <row r="22" spans="1:10" ht="16.5" customHeight="1">
      <c r="A22" s="83" t="s">
        <v>12</v>
      </c>
      <c r="B22" s="84"/>
      <c r="C22" s="12">
        <f>SUM(C14:C21)</f>
        <v>0</v>
      </c>
      <c r="D22" s="83" t="s">
        <v>26</v>
      </c>
      <c r="E22" s="84"/>
      <c r="F22" s="12">
        <f>SUM(F14:F21)</f>
        <v>0</v>
      </c>
      <c r="G22" s="83" t="s">
        <v>44</v>
      </c>
      <c r="H22" s="84"/>
      <c r="I22" s="12">
        <f>SUM(I14:I21)</f>
        <v>0</v>
      </c>
      <c r="J22" s="18"/>
    </row>
    <row r="23" spans="1:10" ht="15" customHeight="1">
      <c r="A23" s="5"/>
      <c r="B23" s="5"/>
      <c r="C23" s="10"/>
      <c r="D23" s="83" t="s">
        <v>27</v>
      </c>
      <c r="E23" s="84"/>
      <c r="F23" s="14">
        <v>0</v>
      </c>
      <c r="G23" s="83" t="s">
        <v>45</v>
      </c>
      <c r="H23" s="84"/>
      <c r="I23" s="12">
        <v>0</v>
      </c>
      <c r="J23" s="18"/>
    </row>
    <row r="24" spans="4:9" ht="15" customHeight="1">
      <c r="D24" s="5"/>
      <c r="E24" s="5"/>
      <c r="F24" s="15"/>
      <c r="G24" s="83" t="s">
        <v>46</v>
      </c>
      <c r="H24" s="84"/>
      <c r="I24" s="17"/>
    </row>
    <row r="25" spans="6:10" ht="15" customHeight="1">
      <c r="F25" s="16"/>
      <c r="G25" s="83" t="s">
        <v>47</v>
      </c>
      <c r="H25" s="84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85" t="s">
        <v>13</v>
      </c>
      <c r="B27" s="86"/>
      <c r="C27" s="20">
        <f>SUM('Stavební rozpočet'!AJ12:AJ105)</f>
        <v>0</v>
      </c>
      <c r="D27" s="11"/>
      <c r="E27" s="1"/>
      <c r="F27" s="1"/>
      <c r="G27" s="1"/>
      <c r="H27" s="1"/>
      <c r="I27" s="1"/>
    </row>
    <row r="28" spans="1:10" ht="15" customHeight="1">
      <c r="A28" s="85" t="s">
        <v>14</v>
      </c>
      <c r="B28" s="86"/>
      <c r="C28" s="20">
        <f>SUM('Stavební rozpočet'!AK12:AK105)</f>
        <v>0</v>
      </c>
      <c r="D28" s="85" t="s">
        <v>28</v>
      </c>
      <c r="E28" s="86"/>
      <c r="F28" s="20">
        <f>ROUND(C28*(15/100),2)</f>
        <v>0</v>
      </c>
      <c r="G28" s="85" t="s">
        <v>48</v>
      </c>
      <c r="H28" s="86"/>
      <c r="I28" s="20">
        <f>SUM(C27:C29)</f>
        <v>0</v>
      </c>
      <c r="J28" s="18"/>
    </row>
    <row r="29" spans="1:10" ht="15" customHeight="1">
      <c r="A29" s="85" t="s">
        <v>15</v>
      </c>
      <c r="B29" s="86"/>
      <c r="C29" s="20">
        <f>SUM('Stavební rozpočet'!AL12:AL105)+(F22+I22+F23+I23+I24+I25)</f>
        <v>0</v>
      </c>
      <c r="D29" s="85" t="s">
        <v>29</v>
      </c>
      <c r="E29" s="86"/>
      <c r="F29" s="20">
        <f>ROUND(C29*(21/100),2)</f>
        <v>0</v>
      </c>
      <c r="G29" s="85" t="s">
        <v>49</v>
      </c>
      <c r="H29" s="86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87" t="s">
        <v>16</v>
      </c>
      <c r="B31" s="88"/>
      <c r="C31" s="89"/>
      <c r="D31" s="87" t="s">
        <v>30</v>
      </c>
      <c r="E31" s="88"/>
      <c r="F31" s="89"/>
      <c r="G31" s="87" t="s">
        <v>50</v>
      </c>
      <c r="H31" s="88"/>
      <c r="I31" s="89"/>
      <c r="J31" s="19"/>
    </row>
    <row r="32" spans="1:10" ht="14.25" customHeight="1">
      <c r="A32" s="90"/>
      <c r="B32" s="91"/>
      <c r="C32" s="92"/>
      <c r="D32" s="90"/>
      <c r="E32" s="91"/>
      <c r="F32" s="92"/>
      <c r="G32" s="90"/>
      <c r="H32" s="91"/>
      <c r="I32" s="92"/>
      <c r="J32" s="19"/>
    </row>
    <row r="33" spans="1:10" ht="14.25" customHeight="1">
      <c r="A33" s="90"/>
      <c r="B33" s="91"/>
      <c r="C33" s="92"/>
      <c r="D33" s="90"/>
      <c r="E33" s="91"/>
      <c r="F33" s="92"/>
      <c r="G33" s="90"/>
      <c r="H33" s="91"/>
      <c r="I33" s="92"/>
      <c r="J33" s="19"/>
    </row>
    <row r="34" spans="1:10" ht="14.25" customHeight="1">
      <c r="A34" s="90"/>
      <c r="B34" s="91"/>
      <c r="C34" s="92"/>
      <c r="D34" s="90"/>
      <c r="E34" s="91"/>
      <c r="F34" s="92"/>
      <c r="G34" s="90"/>
      <c r="H34" s="91"/>
      <c r="I34" s="92"/>
      <c r="J34" s="19"/>
    </row>
    <row r="35" spans="1:10" ht="14.25" customHeight="1">
      <c r="A35" s="93" t="s">
        <v>17</v>
      </c>
      <c r="B35" s="94"/>
      <c r="C35" s="95"/>
      <c r="D35" s="93" t="s">
        <v>17</v>
      </c>
      <c r="E35" s="94"/>
      <c r="F35" s="95"/>
      <c r="G35" s="93" t="s">
        <v>17</v>
      </c>
      <c r="H35" s="94"/>
      <c r="I35" s="95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70"/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8"/>
  <sheetViews>
    <sheetView zoomScalePageLayoutView="0" workbookViewId="0" topLeftCell="A1">
      <selection activeCell="I8" sqref="I8:L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3.57421875" style="56" customWidth="1"/>
    <col min="4" max="4" width="11.57421875" style="0" customWidth="1"/>
    <col min="5" max="5" width="9.14062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96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12.75">
      <c r="A2" s="59" t="s">
        <v>0</v>
      </c>
      <c r="B2" s="60"/>
      <c r="C2" s="63" t="s">
        <v>349</v>
      </c>
      <c r="D2" s="98" t="s">
        <v>294</v>
      </c>
      <c r="E2" s="60"/>
      <c r="F2" s="98" t="s">
        <v>58</v>
      </c>
      <c r="G2" s="60"/>
      <c r="H2" s="66" t="s">
        <v>31</v>
      </c>
      <c r="I2" s="98" t="s">
        <v>306</v>
      </c>
      <c r="J2" s="60"/>
      <c r="K2" s="60"/>
      <c r="L2" s="99"/>
      <c r="M2" s="18"/>
    </row>
    <row r="3" spans="1:13" ht="12.75">
      <c r="A3" s="61"/>
      <c r="B3" s="62"/>
      <c r="C3" s="97"/>
      <c r="D3" s="62"/>
      <c r="E3" s="62"/>
      <c r="F3" s="62"/>
      <c r="G3" s="62"/>
      <c r="H3" s="62"/>
      <c r="I3" s="62"/>
      <c r="J3" s="62"/>
      <c r="K3" s="62"/>
      <c r="L3" s="68"/>
      <c r="M3" s="18"/>
    </row>
    <row r="4" spans="1:13" ht="12.75">
      <c r="A4" s="69" t="s">
        <v>1</v>
      </c>
      <c r="B4" s="62"/>
      <c r="C4" s="70" t="s">
        <v>58</v>
      </c>
      <c r="D4" s="72" t="s">
        <v>3</v>
      </c>
      <c r="E4" s="62"/>
      <c r="F4" s="72" t="s">
        <v>58</v>
      </c>
      <c r="G4" s="62"/>
      <c r="H4" s="70" t="s">
        <v>32</v>
      </c>
      <c r="I4" s="72" t="s">
        <v>306</v>
      </c>
      <c r="J4" s="62"/>
      <c r="K4" s="62"/>
      <c r="L4" s="68"/>
      <c r="M4" s="18"/>
    </row>
    <row r="5" spans="1:13" ht="12.75">
      <c r="A5" s="61"/>
      <c r="B5" s="62"/>
      <c r="C5" s="70"/>
      <c r="D5" s="62"/>
      <c r="E5" s="62"/>
      <c r="F5" s="62"/>
      <c r="G5" s="62"/>
      <c r="H5" s="62"/>
      <c r="I5" s="62"/>
      <c r="J5" s="62"/>
      <c r="K5" s="62"/>
      <c r="L5" s="68"/>
      <c r="M5" s="18"/>
    </row>
    <row r="6" spans="1:13" ht="12.75">
      <c r="A6" s="69" t="s">
        <v>2</v>
      </c>
      <c r="B6" s="62"/>
      <c r="C6" s="70" t="s">
        <v>58</v>
      </c>
      <c r="D6" s="72" t="s">
        <v>34</v>
      </c>
      <c r="E6" s="62"/>
      <c r="F6" s="72" t="s">
        <v>58</v>
      </c>
      <c r="G6" s="62"/>
      <c r="H6" s="70" t="s">
        <v>33</v>
      </c>
      <c r="I6" s="72" t="s">
        <v>306</v>
      </c>
      <c r="J6" s="62"/>
      <c r="K6" s="62"/>
      <c r="L6" s="68"/>
      <c r="M6" s="18"/>
    </row>
    <row r="7" spans="1:13" ht="12.75">
      <c r="A7" s="61"/>
      <c r="B7" s="62"/>
      <c r="C7" s="70"/>
      <c r="D7" s="62"/>
      <c r="E7" s="62"/>
      <c r="F7" s="62"/>
      <c r="G7" s="62"/>
      <c r="H7" s="62"/>
      <c r="I7" s="62"/>
      <c r="J7" s="62"/>
      <c r="K7" s="62"/>
      <c r="L7" s="68"/>
      <c r="M7" s="18"/>
    </row>
    <row r="8" spans="1:13" ht="12.75">
      <c r="A8" s="69" t="s">
        <v>4</v>
      </c>
      <c r="B8" s="62"/>
      <c r="C8" s="70" t="s">
        <v>58</v>
      </c>
      <c r="D8" s="72" t="s">
        <v>295</v>
      </c>
      <c r="E8" s="62"/>
      <c r="F8" s="72"/>
      <c r="G8" s="62"/>
      <c r="H8" s="70" t="s">
        <v>35</v>
      </c>
      <c r="I8" s="72" t="s">
        <v>306</v>
      </c>
      <c r="J8" s="62"/>
      <c r="K8" s="62"/>
      <c r="L8" s="68"/>
      <c r="M8" s="18"/>
    </row>
    <row r="9" spans="1:13" ht="12.75">
      <c r="A9" s="100"/>
      <c r="B9" s="101"/>
      <c r="C9" s="102"/>
      <c r="D9" s="101"/>
      <c r="E9" s="101"/>
      <c r="F9" s="101"/>
      <c r="G9" s="101"/>
      <c r="H9" s="101"/>
      <c r="I9" s="101"/>
      <c r="J9" s="101"/>
      <c r="K9" s="101"/>
      <c r="L9" s="103"/>
      <c r="M9" s="18"/>
    </row>
    <row r="10" spans="1:13" ht="12.75">
      <c r="A10" s="21" t="s">
        <v>57</v>
      </c>
      <c r="B10" s="29" t="s">
        <v>138</v>
      </c>
      <c r="C10" s="104" t="s">
        <v>212</v>
      </c>
      <c r="D10" s="105"/>
      <c r="E10" s="106"/>
      <c r="F10" s="29" t="s">
        <v>296</v>
      </c>
      <c r="G10" s="33" t="s">
        <v>303</v>
      </c>
      <c r="H10" s="37" t="s">
        <v>304</v>
      </c>
      <c r="I10" s="107" t="s">
        <v>307</v>
      </c>
      <c r="J10" s="108"/>
      <c r="K10" s="109"/>
      <c r="L10" s="42" t="s">
        <v>311</v>
      </c>
      <c r="M10" s="19"/>
    </row>
    <row r="11" spans="1:62" ht="12.75">
      <c r="A11" s="22" t="s">
        <v>58</v>
      </c>
      <c r="B11" s="30" t="s">
        <v>58</v>
      </c>
      <c r="C11" s="110" t="s">
        <v>213</v>
      </c>
      <c r="D11" s="111"/>
      <c r="E11" s="112"/>
      <c r="F11" s="30" t="s">
        <v>58</v>
      </c>
      <c r="G11" s="30" t="s">
        <v>58</v>
      </c>
      <c r="H11" s="38" t="s">
        <v>305</v>
      </c>
      <c r="I11" s="39" t="s">
        <v>308</v>
      </c>
      <c r="J11" s="40" t="s">
        <v>21</v>
      </c>
      <c r="K11" s="41" t="s">
        <v>310</v>
      </c>
      <c r="L11" s="43" t="s">
        <v>312</v>
      </c>
      <c r="M11" s="19"/>
      <c r="Z11" s="46" t="s">
        <v>314</v>
      </c>
      <c r="AA11" s="46" t="s">
        <v>315</v>
      </c>
      <c r="AB11" s="46" t="s">
        <v>316</v>
      </c>
      <c r="AC11" s="46" t="s">
        <v>317</v>
      </c>
      <c r="AD11" s="46" t="s">
        <v>318</v>
      </c>
      <c r="AE11" s="46" t="s">
        <v>319</v>
      </c>
      <c r="AF11" s="46" t="s">
        <v>320</v>
      </c>
      <c r="AG11" s="46" t="s">
        <v>321</v>
      </c>
      <c r="AH11" s="46" t="s">
        <v>322</v>
      </c>
      <c r="BH11" s="46" t="s">
        <v>346</v>
      </c>
      <c r="BI11" s="46" t="s">
        <v>347</v>
      </c>
      <c r="BJ11" s="46" t="s">
        <v>348</v>
      </c>
    </row>
    <row r="12" spans="1:47" ht="12.75">
      <c r="A12" s="23"/>
      <c r="B12" s="31" t="s">
        <v>139</v>
      </c>
      <c r="C12" s="113" t="s">
        <v>214</v>
      </c>
      <c r="D12" s="114"/>
      <c r="E12" s="114"/>
      <c r="F12" s="23" t="s">
        <v>58</v>
      </c>
      <c r="G12" s="23" t="s">
        <v>58</v>
      </c>
      <c r="H12" s="23" t="s">
        <v>58</v>
      </c>
      <c r="I12" s="51">
        <f>SUM(I13:I18)</f>
        <v>0</v>
      </c>
      <c r="J12" s="51">
        <f>SUM(J13:J18)</f>
        <v>0</v>
      </c>
      <c r="K12" s="51">
        <f>SUM(K13:K18)</f>
        <v>0</v>
      </c>
      <c r="L12" s="44"/>
      <c r="AI12" s="46"/>
      <c r="AS12" s="52">
        <f>SUM(AJ13:AJ18)</f>
        <v>0</v>
      </c>
      <c r="AT12" s="52">
        <f>SUM(AK13:AK18)</f>
        <v>0</v>
      </c>
      <c r="AU12" s="52">
        <f>SUM(AL13:AL18)</f>
        <v>0</v>
      </c>
    </row>
    <row r="13" spans="1:62" ht="12.75">
      <c r="A13" s="24" t="s">
        <v>59</v>
      </c>
      <c r="B13" s="24" t="s">
        <v>140</v>
      </c>
      <c r="C13" s="115" t="s">
        <v>215</v>
      </c>
      <c r="D13" s="116"/>
      <c r="E13" s="116"/>
      <c r="F13" s="24"/>
      <c r="G13" s="34">
        <v>1</v>
      </c>
      <c r="H13" s="34">
        <v>0</v>
      </c>
      <c r="I13" s="34">
        <f aca="true" t="shared" si="0" ref="I13:I18">G13*AO13</f>
        <v>0</v>
      </c>
      <c r="J13" s="34">
        <f aca="true" t="shared" si="1" ref="J13:J18">G13*AP13</f>
        <v>0</v>
      </c>
      <c r="K13" s="34">
        <f aca="true" t="shared" si="2" ref="K13:K18">G13*H13</f>
        <v>0</v>
      </c>
      <c r="L13" s="45"/>
      <c r="Z13" s="49">
        <f aca="true" t="shared" si="3" ref="Z13:Z18">IF(AQ13="5",BJ13,0)</f>
        <v>0</v>
      </c>
      <c r="AB13" s="49">
        <f aca="true" t="shared" si="4" ref="AB13:AB18">IF(AQ13="1",BH13,0)</f>
        <v>0</v>
      </c>
      <c r="AC13" s="49">
        <f aca="true" t="shared" si="5" ref="AC13:AC18">IF(AQ13="1",BI13,0)</f>
        <v>0</v>
      </c>
      <c r="AD13" s="49">
        <f aca="true" t="shared" si="6" ref="AD13:AD18">IF(AQ13="7",BH13,0)</f>
        <v>0</v>
      </c>
      <c r="AE13" s="49">
        <f aca="true" t="shared" si="7" ref="AE13:AE18">IF(AQ13="7",BI13,0)</f>
        <v>0</v>
      </c>
      <c r="AF13" s="49">
        <f aca="true" t="shared" si="8" ref="AF13:AF18">IF(AQ13="2",BH13,0)</f>
        <v>0</v>
      </c>
      <c r="AG13" s="49">
        <f aca="true" t="shared" si="9" ref="AG13:AG18">IF(AQ13="2",BI13,0)</f>
        <v>0</v>
      </c>
      <c r="AH13" s="49">
        <f aca="true" t="shared" si="10" ref="AH13:AH18">IF(AQ13="0",BJ13,0)</f>
        <v>0</v>
      </c>
      <c r="AI13" s="46"/>
      <c r="AJ13" s="34">
        <f aca="true" t="shared" si="11" ref="AJ13:AJ18">IF(AN13=0,K13,0)</f>
        <v>0</v>
      </c>
      <c r="AK13" s="34">
        <f aca="true" t="shared" si="12" ref="AK13:AK18">IF(AN13=15,K13,0)</f>
        <v>0</v>
      </c>
      <c r="AL13" s="34">
        <f aca="true" t="shared" si="13" ref="AL13:AL18">IF(AN13=21,K13,0)</f>
        <v>0</v>
      </c>
      <c r="AN13" s="49">
        <v>21</v>
      </c>
      <c r="AO13" s="49">
        <f>H13*0.5</f>
        <v>0</v>
      </c>
      <c r="AP13" s="49">
        <f>H13*(1-0.5)</f>
        <v>0</v>
      </c>
      <c r="AQ13" s="45" t="s">
        <v>59</v>
      </c>
      <c r="AV13" s="49">
        <f aca="true" t="shared" si="14" ref="AV13:AV18">AW13+AX13</f>
        <v>0</v>
      </c>
      <c r="AW13" s="49">
        <f aca="true" t="shared" si="15" ref="AW13:AW18">G13*AO13</f>
        <v>0</v>
      </c>
      <c r="AX13" s="49">
        <f aca="true" t="shared" si="16" ref="AX13:AX18">G13*AP13</f>
        <v>0</v>
      </c>
      <c r="AY13" s="50" t="s">
        <v>323</v>
      </c>
      <c r="AZ13" s="50" t="s">
        <v>337</v>
      </c>
      <c r="BA13" s="46" t="s">
        <v>345</v>
      </c>
      <c r="BC13" s="49">
        <f aca="true" t="shared" si="17" ref="BC13:BC18">AW13+AX13</f>
        <v>0</v>
      </c>
      <c r="BD13" s="49">
        <f aca="true" t="shared" si="18" ref="BD13:BD18">H13/(100-BE13)*100</f>
        <v>0</v>
      </c>
      <c r="BE13" s="49">
        <v>0</v>
      </c>
      <c r="BF13" s="49">
        <f>13</f>
        <v>13</v>
      </c>
      <c r="BH13" s="34">
        <f aca="true" t="shared" si="19" ref="BH13:BH18">G13*AO13</f>
        <v>0</v>
      </c>
      <c r="BI13" s="34">
        <f aca="true" t="shared" si="20" ref="BI13:BI18">G13*AP13</f>
        <v>0</v>
      </c>
      <c r="BJ13" s="34">
        <f aca="true" t="shared" si="21" ref="BJ13:BJ18">G13*H13</f>
        <v>0</v>
      </c>
    </row>
    <row r="14" spans="1:62" ht="12.75">
      <c r="A14" s="24" t="s">
        <v>60</v>
      </c>
      <c r="B14" s="24" t="s">
        <v>141</v>
      </c>
      <c r="C14" s="115" t="s">
        <v>216</v>
      </c>
      <c r="D14" s="116"/>
      <c r="E14" s="116"/>
      <c r="F14" s="24"/>
      <c r="G14" s="34">
        <v>1</v>
      </c>
      <c r="H14" s="34">
        <v>0</v>
      </c>
      <c r="I14" s="34">
        <f t="shared" si="0"/>
        <v>0</v>
      </c>
      <c r="J14" s="34">
        <f t="shared" si="1"/>
        <v>0</v>
      </c>
      <c r="K14" s="34">
        <f t="shared" si="2"/>
        <v>0</v>
      </c>
      <c r="L14" s="45"/>
      <c r="Z14" s="49">
        <f t="shared" si="3"/>
        <v>0</v>
      </c>
      <c r="AB14" s="49">
        <f t="shared" si="4"/>
        <v>0</v>
      </c>
      <c r="AC14" s="49">
        <f t="shared" si="5"/>
        <v>0</v>
      </c>
      <c r="AD14" s="49">
        <f t="shared" si="6"/>
        <v>0</v>
      </c>
      <c r="AE14" s="49">
        <f t="shared" si="7"/>
        <v>0</v>
      </c>
      <c r="AF14" s="49">
        <f t="shared" si="8"/>
        <v>0</v>
      </c>
      <c r="AG14" s="49">
        <f t="shared" si="9"/>
        <v>0</v>
      </c>
      <c r="AH14" s="49">
        <f t="shared" si="10"/>
        <v>0</v>
      </c>
      <c r="AI14" s="46"/>
      <c r="AJ14" s="34">
        <f t="shared" si="11"/>
        <v>0</v>
      </c>
      <c r="AK14" s="34">
        <f t="shared" si="12"/>
        <v>0</v>
      </c>
      <c r="AL14" s="34">
        <f t="shared" si="13"/>
        <v>0</v>
      </c>
      <c r="AN14" s="49">
        <v>21</v>
      </c>
      <c r="AO14" s="49">
        <f>H14*0.5</f>
        <v>0</v>
      </c>
      <c r="AP14" s="49">
        <f>H14*(1-0.5)</f>
        <v>0</v>
      </c>
      <c r="AQ14" s="45" t="s">
        <v>59</v>
      </c>
      <c r="AV14" s="49">
        <f t="shared" si="14"/>
        <v>0</v>
      </c>
      <c r="AW14" s="49">
        <f t="shared" si="15"/>
        <v>0</v>
      </c>
      <c r="AX14" s="49">
        <f t="shared" si="16"/>
        <v>0</v>
      </c>
      <c r="AY14" s="50" t="s">
        <v>323</v>
      </c>
      <c r="AZ14" s="50" t="s">
        <v>337</v>
      </c>
      <c r="BA14" s="46" t="s">
        <v>345</v>
      </c>
      <c r="BC14" s="49">
        <f t="shared" si="17"/>
        <v>0</v>
      </c>
      <c r="BD14" s="49">
        <f t="shared" si="18"/>
        <v>0</v>
      </c>
      <c r="BE14" s="49">
        <v>0</v>
      </c>
      <c r="BF14" s="49">
        <f>14</f>
        <v>14</v>
      </c>
      <c r="BH14" s="34">
        <f t="shared" si="19"/>
        <v>0</v>
      </c>
      <c r="BI14" s="34">
        <f t="shared" si="20"/>
        <v>0</v>
      </c>
      <c r="BJ14" s="34">
        <f t="shared" si="21"/>
        <v>0</v>
      </c>
    </row>
    <row r="15" spans="1:62" ht="12.75">
      <c r="A15" s="24" t="s">
        <v>61</v>
      </c>
      <c r="B15" s="24" t="s">
        <v>142</v>
      </c>
      <c r="C15" s="115" t="s">
        <v>217</v>
      </c>
      <c r="D15" s="116"/>
      <c r="E15" s="116"/>
      <c r="F15" s="24"/>
      <c r="G15" s="34">
        <v>1</v>
      </c>
      <c r="H15" s="34">
        <v>0</v>
      </c>
      <c r="I15" s="34">
        <f t="shared" si="0"/>
        <v>0</v>
      </c>
      <c r="J15" s="34">
        <f t="shared" si="1"/>
        <v>0</v>
      </c>
      <c r="K15" s="34">
        <f t="shared" si="2"/>
        <v>0</v>
      </c>
      <c r="L15" s="45"/>
      <c r="Z15" s="49">
        <f t="shared" si="3"/>
        <v>0</v>
      </c>
      <c r="AB15" s="49">
        <f t="shared" si="4"/>
        <v>0</v>
      </c>
      <c r="AC15" s="49">
        <f t="shared" si="5"/>
        <v>0</v>
      </c>
      <c r="AD15" s="49">
        <f t="shared" si="6"/>
        <v>0</v>
      </c>
      <c r="AE15" s="49">
        <f t="shared" si="7"/>
        <v>0</v>
      </c>
      <c r="AF15" s="49">
        <f t="shared" si="8"/>
        <v>0</v>
      </c>
      <c r="AG15" s="49">
        <f t="shared" si="9"/>
        <v>0</v>
      </c>
      <c r="AH15" s="49">
        <f t="shared" si="10"/>
        <v>0</v>
      </c>
      <c r="AI15" s="46"/>
      <c r="AJ15" s="34">
        <f t="shared" si="11"/>
        <v>0</v>
      </c>
      <c r="AK15" s="34">
        <f t="shared" si="12"/>
        <v>0</v>
      </c>
      <c r="AL15" s="34">
        <f t="shared" si="13"/>
        <v>0</v>
      </c>
      <c r="AN15" s="49">
        <v>21</v>
      </c>
      <c r="AO15" s="49">
        <f>H15*0.8125</f>
        <v>0</v>
      </c>
      <c r="AP15" s="49">
        <f>H15*(1-0.8125)</f>
        <v>0</v>
      </c>
      <c r="AQ15" s="45" t="s">
        <v>59</v>
      </c>
      <c r="AV15" s="49">
        <f t="shared" si="14"/>
        <v>0</v>
      </c>
      <c r="AW15" s="49">
        <f t="shared" si="15"/>
        <v>0</v>
      </c>
      <c r="AX15" s="49">
        <f t="shared" si="16"/>
        <v>0</v>
      </c>
      <c r="AY15" s="50" t="s">
        <v>323</v>
      </c>
      <c r="AZ15" s="50" t="s">
        <v>337</v>
      </c>
      <c r="BA15" s="46" t="s">
        <v>345</v>
      </c>
      <c r="BC15" s="49">
        <f t="shared" si="17"/>
        <v>0</v>
      </c>
      <c r="BD15" s="49">
        <f t="shared" si="18"/>
        <v>0</v>
      </c>
      <c r="BE15" s="49">
        <v>0</v>
      </c>
      <c r="BF15" s="49">
        <f>15</f>
        <v>15</v>
      </c>
      <c r="BH15" s="34">
        <f t="shared" si="19"/>
        <v>0</v>
      </c>
      <c r="BI15" s="34">
        <f t="shared" si="20"/>
        <v>0</v>
      </c>
      <c r="BJ15" s="34">
        <f t="shared" si="21"/>
        <v>0</v>
      </c>
    </row>
    <row r="16" spans="1:62" ht="33" customHeight="1">
      <c r="A16" s="24" t="s">
        <v>62</v>
      </c>
      <c r="B16" s="24" t="s">
        <v>143</v>
      </c>
      <c r="C16" s="117" t="s">
        <v>218</v>
      </c>
      <c r="D16" s="118"/>
      <c r="E16" s="118"/>
      <c r="F16" s="24"/>
      <c r="G16" s="34">
        <v>1</v>
      </c>
      <c r="H16" s="34">
        <v>0</v>
      </c>
      <c r="I16" s="34">
        <f t="shared" si="0"/>
        <v>0</v>
      </c>
      <c r="J16" s="34">
        <f t="shared" si="1"/>
        <v>0</v>
      </c>
      <c r="K16" s="34">
        <f t="shared" si="2"/>
        <v>0</v>
      </c>
      <c r="L16" s="45"/>
      <c r="Z16" s="49">
        <f t="shared" si="3"/>
        <v>0</v>
      </c>
      <c r="AB16" s="49">
        <f t="shared" si="4"/>
        <v>0</v>
      </c>
      <c r="AC16" s="49">
        <f t="shared" si="5"/>
        <v>0</v>
      </c>
      <c r="AD16" s="49">
        <f t="shared" si="6"/>
        <v>0</v>
      </c>
      <c r="AE16" s="49">
        <f t="shared" si="7"/>
        <v>0</v>
      </c>
      <c r="AF16" s="49">
        <f t="shared" si="8"/>
        <v>0</v>
      </c>
      <c r="AG16" s="49">
        <f t="shared" si="9"/>
        <v>0</v>
      </c>
      <c r="AH16" s="49">
        <f t="shared" si="10"/>
        <v>0</v>
      </c>
      <c r="AI16" s="46"/>
      <c r="AJ16" s="34">
        <f t="shared" si="11"/>
        <v>0</v>
      </c>
      <c r="AK16" s="34">
        <f t="shared" si="12"/>
        <v>0</v>
      </c>
      <c r="AL16" s="34">
        <f t="shared" si="13"/>
        <v>0</v>
      </c>
      <c r="AN16" s="49">
        <v>21</v>
      </c>
      <c r="AO16" s="49">
        <f>H16*0.696969696969697</f>
        <v>0</v>
      </c>
      <c r="AP16" s="49">
        <f>H16*(1-0.696969696969697)</f>
        <v>0</v>
      </c>
      <c r="AQ16" s="45" t="s">
        <v>59</v>
      </c>
      <c r="AV16" s="49">
        <f t="shared" si="14"/>
        <v>0</v>
      </c>
      <c r="AW16" s="49">
        <f t="shared" si="15"/>
        <v>0</v>
      </c>
      <c r="AX16" s="49">
        <f t="shared" si="16"/>
        <v>0</v>
      </c>
      <c r="AY16" s="50" t="s">
        <v>323</v>
      </c>
      <c r="AZ16" s="50" t="s">
        <v>337</v>
      </c>
      <c r="BA16" s="46" t="s">
        <v>345</v>
      </c>
      <c r="BC16" s="49">
        <f t="shared" si="17"/>
        <v>0</v>
      </c>
      <c r="BD16" s="49">
        <f t="shared" si="18"/>
        <v>0</v>
      </c>
      <c r="BE16" s="49">
        <v>0</v>
      </c>
      <c r="BF16" s="49">
        <f>16</f>
        <v>16</v>
      </c>
      <c r="BH16" s="34">
        <f t="shared" si="19"/>
        <v>0</v>
      </c>
      <c r="BI16" s="34">
        <f t="shared" si="20"/>
        <v>0</v>
      </c>
      <c r="BJ16" s="34">
        <f t="shared" si="21"/>
        <v>0</v>
      </c>
    </row>
    <row r="17" spans="1:62" ht="12.75">
      <c r="A17" s="24" t="s">
        <v>63</v>
      </c>
      <c r="B17" s="24" t="s">
        <v>144</v>
      </c>
      <c r="C17" s="115" t="s">
        <v>219</v>
      </c>
      <c r="D17" s="116"/>
      <c r="E17" s="116"/>
      <c r="F17" s="24"/>
      <c r="G17" s="34">
        <v>1</v>
      </c>
      <c r="H17" s="34">
        <v>0</v>
      </c>
      <c r="I17" s="34">
        <f t="shared" si="0"/>
        <v>0</v>
      </c>
      <c r="J17" s="34">
        <f t="shared" si="1"/>
        <v>0</v>
      </c>
      <c r="K17" s="34">
        <f t="shared" si="2"/>
        <v>0</v>
      </c>
      <c r="L17" s="45"/>
      <c r="Z17" s="49">
        <f t="shared" si="3"/>
        <v>0</v>
      </c>
      <c r="AB17" s="49">
        <f t="shared" si="4"/>
        <v>0</v>
      </c>
      <c r="AC17" s="49">
        <f t="shared" si="5"/>
        <v>0</v>
      </c>
      <c r="AD17" s="49">
        <f t="shared" si="6"/>
        <v>0</v>
      </c>
      <c r="AE17" s="49">
        <f t="shared" si="7"/>
        <v>0</v>
      </c>
      <c r="AF17" s="49">
        <f t="shared" si="8"/>
        <v>0</v>
      </c>
      <c r="AG17" s="49">
        <f t="shared" si="9"/>
        <v>0</v>
      </c>
      <c r="AH17" s="49">
        <f t="shared" si="10"/>
        <v>0</v>
      </c>
      <c r="AI17" s="46"/>
      <c r="AJ17" s="34">
        <f t="shared" si="11"/>
        <v>0</v>
      </c>
      <c r="AK17" s="34">
        <f t="shared" si="12"/>
        <v>0</v>
      </c>
      <c r="AL17" s="34">
        <f t="shared" si="13"/>
        <v>0</v>
      </c>
      <c r="AN17" s="49">
        <v>21</v>
      </c>
      <c r="AO17" s="49">
        <f>H17*0.5</f>
        <v>0</v>
      </c>
      <c r="AP17" s="49">
        <f>H17*(1-0.5)</f>
        <v>0</v>
      </c>
      <c r="AQ17" s="45" t="s">
        <v>59</v>
      </c>
      <c r="AV17" s="49">
        <f t="shared" si="14"/>
        <v>0</v>
      </c>
      <c r="AW17" s="49">
        <f t="shared" si="15"/>
        <v>0</v>
      </c>
      <c r="AX17" s="49">
        <f t="shared" si="16"/>
        <v>0</v>
      </c>
      <c r="AY17" s="50" t="s">
        <v>323</v>
      </c>
      <c r="AZ17" s="50" t="s">
        <v>337</v>
      </c>
      <c r="BA17" s="46" t="s">
        <v>345</v>
      </c>
      <c r="BC17" s="49">
        <f t="shared" si="17"/>
        <v>0</v>
      </c>
      <c r="BD17" s="49">
        <f t="shared" si="18"/>
        <v>0</v>
      </c>
      <c r="BE17" s="49">
        <v>0</v>
      </c>
      <c r="BF17" s="49">
        <f>17</f>
        <v>17</v>
      </c>
      <c r="BH17" s="34">
        <f t="shared" si="19"/>
        <v>0</v>
      </c>
      <c r="BI17" s="34">
        <f t="shared" si="20"/>
        <v>0</v>
      </c>
      <c r="BJ17" s="34">
        <f t="shared" si="21"/>
        <v>0</v>
      </c>
    </row>
    <row r="18" spans="1:62" ht="12.75">
      <c r="A18" s="24" t="s">
        <v>64</v>
      </c>
      <c r="B18" s="24" t="s">
        <v>145</v>
      </c>
      <c r="C18" s="115" t="s">
        <v>220</v>
      </c>
      <c r="D18" s="116"/>
      <c r="E18" s="116"/>
      <c r="F18" s="24"/>
      <c r="G18" s="34">
        <v>1</v>
      </c>
      <c r="H18" s="34">
        <v>0</v>
      </c>
      <c r="I18" s="34">
        <f t="shared" si="0"/>
        <v>0</v>
      </c>
      <c r="J18" s="34">
        <f t="shared" si="1"/>
        <v>0</v>
      </c>
      <c r="K18" s="34">
        <f t="shared" si="2"/>
        <v>0</v>
      </c>
      <c r="L18" s="45"/>
      <c r="Z18" s="49">
        <f t="shared" si="3"/>
        <v>0</v>
      </c>
      <c r="AB18" s="49">
        <f t="shared" si="4"/>
        <v>0</v>
      </c>
      <c r="AC18" s="49">
        <f t="shared" si="5"/>
        <v>0</v>
      </c>
      <c r="AD18" s="49">
        <f t="shared" si="6"/>
        <v>0</v>
      </c>
      <c r="AE18" s="49">
        <f t="shared" si="7"/>
        <v>0</v>
      </c>
      <c r="AF18" s="49">
        <f t="shared" si="8"/>
        <v>0</v>
      </c>
      <c r="AG18" s="49">
        <f t="shared" si="9"/>
        <v>0</v>
      </c>
      <c r="AH18" s="49">
        <f t="shared" si="10"/>
        <v>0</v>
      </c>
      <c r="AI18" s="46"/>
      <c r="AJ18" s="34">
        <f t="shared" si="11"/>
        <v>0</v>
      </c>
      <c r="AK18" s="34">
        <f t="shared" si="12"/>
        <v>0</v>
      </c>
      <c r="AL18" s="34">
        <f t="shared" si="13"/>
        <v>0</v>
      </c>
      <c r="AN18" s="49">
        <v>21</v>
      </c>
      <c r="AO18" s="49">
        <f>H18*0.5</f>
        <v>0</v>
      </c>
      <c r="AP18" s="49">
        <f>H18*(1-0.5)</f>
        <v>0</v>
      </c>
      <c r="AQ18" s="45" t="s">
        <v>59</v>
      </c>
      <c r="AV18" s="49">
        <f t="shared" si="14"/>
        <v>0</v>
      </c>
      <c r="AW18" s="49">
        <f t="shared" si="15"/>
        <v>0</v>
      </c>
      <c r="AX18" s="49">
        <f t="shared" si="16"/>
        <v>0</v>
      </c>
      <c r="AY18" s="50" t="s">
        <v>323</v>
      </c>
      <c r="AZ18" s="50" t="s">
        <v>337</v>
      </c>
      <c r="BA18" s="46" t="s">
        <v>345</v>
      </c>
      <c r="BC18" s="49">
        <f t="shared" si="17"/>
        <v>0</v>
      </c>
      <c r="BD18" s="49">
        <f t="shared" si="18"/>
        <v>0</v>
      </c>
      <c r="BE18" s="49">
        <v>0</v>
      </c>
      <c r="BF18" s="49">
        <f>18</f>
        <v>18</v>
      </c>
      <c r="BH18" s="34">
        <f t="shared" si="19"/>
        <v>0</v>
      </c>
      <c r="BI18" s="34">
        <f t="shared" si="20"/>
        <v>0</v>
      </c>
      <c r="BJ18" s="34">
        <f t="shared" si="21"/>
        <v>0</v>
      </c>
    </row>
    <row r="19" spans="1:47" ht="12.75">
      <c r="A19" s="25"/>
      <c r="B19" s="32" t="s">
        <v>85</v>
      </c>
      <c r="C19" s="119" t="s">
        <v>221</v>
      </c>
      <c r="D19" s="120"/>
      <c r="E19" s="120"/>
      <c r="F19" s="25" t="s">
        <v>58</v>
      </c>
      <c r="G19" s="25" t="s">
        <v>58</v>
      </c>
      <c r="H19" s="25" t="s">
        <v>58</v>
      </c>
      <c r="I19" s="52">
        <f>SUM(I20:I24)</f>
        <v>0</v>
      </c>
      <c r="J19" s="52">
        <f>SUM(J20:J24)</f>
        <v>0</v>
      </c>
      <c r="K19" s="52">
        <f>SUM(K20:K24)</f>
        <v>0</v>
      </c>
      <c r="L19" s="46"/>
      <c r="AI19" s="46"/>
      <c r="AS19" s="52">
        <f>SUM(AJ20:AJ24)</f>
        <v>0</v>
      </c>
      <c r="AT19" s="52">
        <f>SUM(AK20:AK24)</f>
        <v>0</v>
      </c>
      <c r="AU19" s="52">
        <f>SUM(AL20:AL24)</f>
        <v>0</v>
      </c>
    </row>
    <row r="20" spans="1:62" ht="12.75">
      <c r="A20" s="24" t="s">
        <v>65</v>
      </c>
      <c r="B20" s="24" t="s">
        <v>146</v>
      </c>
      <c r="C20" s="115" t="s">
        <v>222</v>
      </c>
      <c r="D20" s="116"/>
      <c r="E20" s="116"/>
      <c r="F20" s="24" t="s">
        <v>297</v>
      </c>
      <c r="G20" s="34">
        <v>0.2</v>
      </c>
      <c r="H20" s="34">
        <v>0</v>
      </c>
      <c r="I20" s="34">
        <f>G20*AO20</f>
        <v>0</v>
      </c>
      <c r="J20" s="34">
        <f>G20*AP20</f>
        <v>0</v>
      </c>
      <c r="K20" s="34">
        <f>G20*H20</f>
        <v>0</v>
      </c>
      <c r="L20" s="45" t="s">
        <v>313</v>
      </c>
      <c r="Z20" s="49">
        <f>IF(AQ20="5",BJ20,0)</f>
        <v>0</v>
      </c>
      <c r="AB20" s="49">
        <f>IF(AQ20="1",BH20,0)</f>
        <v>0</v>
      </c>
      <c r="AC20" s="49">
        <f>IF(AQ20="1",BI20,0)</f>
        <v>0</v>
      </c>
      <c r="AD20" s="49">
        <f>IF(AQ20="7",BH20,0)</f>
        <v>0</v>
      </c>
      <c r="AE20" s="49">
        <f>IF(AQ20="7",BI20,0)</f>
        <v>0</v>
      </c>
      <c r="AF20" s="49">
        <f>IF(AQ20="2",BH20,0)</f>
        <v>0</v>
      </c>
      <c r="AG20" s="49">
        <f>IF(AQ20="2",BI20,0)</f>
        <v>0</v>
      </c>
      <c r="AH20" s="49">
        <f>IF(AQ20="0",BJ20,0)</f>
        <v>0</v>
      </c>
      <c r="AI20" s="46"/>
      <c r="AJ20" s="34">
        <f>IF(AN20=0,K20,0)</f>
        <v>0</v>
      </c>
      <c r="AK20" s="34">
        <f>IF(AN20=15,K20,0)</f>
        <v>0</v>
      </c>
      <c r="AL20" s="34">
        <f>IF(AN20=21,K20,0)</f>
        <v>0</v>
      </c>
      <c r="AN20" s="49">
        <v>21</v>
      </c>
      <c r="AO20" s="49">
        <f>H20*0.894468634686347</f>
        <v>0</v>
      </c>
      <c r="AP20" s="49">
        <f>H20*(1-0.894468634686347)</f>
        <v>0</v>
      </c>
      <c r="AQ20" s="45" t="s">
        <v>59</v>
      </c>
      <c r="AV20" s="49">
        <f>AW20+AX20</f>
        <v>0</v>
      </c>
      <c r="AW20" s="49">
        <f>G20*AO20</f>
        <v>0</v>
      </c>
      <c r="AX20" s="49">
        <f>G20*AP20</f>
        <v>0</v>
      </c>
      <c r="AY20" s="50" t="s">
        <v>324</v>
      </c>
      <c r="AZ20" s="50" t="s">
        <v>338</v>
      </c>
      <c r="BA20" s="46" t="s">
        <v>345</v>
      </c>
      <c r="BC20" s="49">
        <f>AW20+AX20</f>
        <v>0</v>
      </c>
      <c r="BD20" s="49">
        <f>H20/(100-BE20)*100</f>
        <v>0</v>
      </c>
      <c r="BE20" s="49">
        <v>0</v>
      </c>
      <c r="BF20" s="49">
        <f>20</f>
        <v>20</v>
      </c>
      <c r="BH20" s="34">
        <f>G20*AO20</f>
        <v>0</v>
      </c>
      <c r="BI20" s="34">
        <f>G20*AP20</f>
        <v>0</v>
      </c>
      <c r="BJ20" s="34">
        <f>G20*H20</f>
        <v>0</v>
      </c>
    </row>
    <row r="21" spans="1:62" ht="12.75">
      <c r="A21" s="24" t="s">
        <v>66</v>
      </c>
      <c r="B21" s="24" t="s">
        <v>147</v>
      </c>
      <c r="C21" s="115" t="s">
        <v>223</v>
      </c>
      <c r="D21" s="116"/>
      <c r="E21" s="116"/>
      <c r="F21" s="24" t="s">
        <v>298</v>
      </c>
      <c r="G21" s="34">
        <v>0.7</v>
      </c>
      <c r="H21" s="34">
        <v>0</v>
      </c>
      <c r="I21" s="34">
        <f>G21*AO21</f>
        <v>0</v>
      </c>
      <c r="J21" s="34">
        <f>G21*AP21</f>
        <v>0</v>
      </c>
      <c r="K21" s="34">
        <f>G21*H21</f>
        <v>0</v>
      </c>
      <c r="L21" s="45" t="s">
        <v>313</v>
      </c>
      <c r="Z21" s="49">
        <f>IF(AQ21="5",BJ21,0)</f>
        <v>0</v>
      </c>
      <c r="AB21" s="49">
        <f>IF(AQ21="1",BH21,0)</f>
        <v>0</v>
      </c>
      <c r="AC21" s="49">
        <f>IF(AQ21="1",BI21,0)</f>
        <v>0</v>
      </c>
      <c r="AD21" s="49">
        <f>IF(AQ21="7",BH21,0)</f>
        <v>0</v>
      </c>
      <c r="AE21" s="49">
        <f>IF(AQ21="7",BI21,0)</f>
        <v>0</v>
      </c>
      <c r="AF21" s="49">
        <f>IF(AQ21="2",BH21,0)</f>
        <v>0</v>
      </c>
      <c r="AG21" s="49">
        <f>IF(AQ21="2",BI21,0)</f>
        <v>0</v>
      </c>
      <c r="AH21" s="49">
        <f>IF(AQ21="0",BJ21,0)</f>
        <v>0</v>
      </c>
      <c r="AI21" s="46"/>
      <c r="AJ21" s="34">
        <f>IF(AN21=0,K21,0)</f>
        <v>0</v>
      </c>
      <c r="AK21" s="34">
        <f>IF(AN21=15,K21,0)</f>
        <v>0</v>
      </c>
      <c r="AL21" s="34">
        <f>IF(AN21=21,K21,0)</f>
        <v>0</v>
      </c>
      <c r="AN21" s="49">
        <v>21</v>
      </c>
      <c r="AO21" s="49">
        <f>H21*0.600797773654916</f>
        <v>0</v>
      </c>
      <c r="AP21" s="49">
        <f>H21*(1-0.600797773654916)</f>
        <v>0</v>
      </c>
      <c r="AQ21" s="45" t="s">
        <v>59</v>
      </c>
      <c r="AV21" s="49">
        <f>AW21+AX21</f>
        <v>0</v>
      </c>
      <c r="AW21" s="49">
        <f>G21*AO21</f>
        <v>0</v>
      </c>
      <c r="AX21" s="49">
        <f>G21*AP21</f>
        <v>0</v>
      </c>
      <c r="AY21" s="50" t="s">
        <v>324</v>
      </c>
      <c r="AZ21" s="50" t="s">
        <v>338</v>
      </c>
      <c r="BA21" s="46" t="s">
        <v>345</v>
      </c>
      <c r="BC21" s="49">
        <f>AW21+AX21</f>
        <v>0</v>
      </c>
      <c r="BD21" s="49">
        <f>H21/(100-BE21)*100</f>
        <v>0</v>
      </c>
      <c r="BE21" s="49">
        <v>0</v>
      </c>
      <c r="BF21" s="49">
        <f>21</f>
        <v>21</v>
      </c>
      <c r="BH21" s="34">
        <f>G21*AO21</f>
        <v>0</v>
      </c>
      <c r="BI21" s="34">
        <f>G21*AP21</f>
        <v>0</v>
      </c>
      <c r="BJ21" s="34">
        <f>G21*H21</f>
        <v>0</v>
      </c>
    </row>
    <row r="22" spans="1:62" ht="12.75">
      <c r="A22" s="24" t="s">
        <v>67</v>
      </c>
      <c r="B22" s="24" t="s">
        <v>148</v>
      </c>
      <c r="C22" s="115" t="s">
        <v>224</v>
      </c>
      <c r="D22" s="116"/>
      <c r="E22" s="116"/>
      <c r="F22" s="24" t="s">
        <v>298</v>
      </c>
      <c r="G22" s="34">
        <v>0.7</v>
      </c>
      <c r="H22" s="34">
        <v>0</v>
      </c>
      <c r="I22" s="34">
        <f>G22*AO22</f>
        <v>0</v>
      </c>
      <c r="J22" s="34">
        <f>G22*AP22</f>
        <v>0</v>
      </c>
      <c r="K22" s="34">
        <f>G22*H22</f>
        <v>0</v>
      </c>
      <c r="L22" s="45" t="s">
        <v>313</v>
      </c>
      <c r="Z22" s="49">
        <f>IF(AQ22="5",BJ22,0)</f>
        <v>0</v>
      </c>
      <c r="AB22" s="49">
        <f>IF(AQ22="1",BH22,0)</f>
        <v>0</v>
      </c>
      <c r="AC22" s="49">
        <f>IF(AQ22="1",BI22,0)</f>
        <v>0</v>
      </c>
      <c r="AD22" s="49">
        <f>IF(AQ22="7",BH22,0)</f>
        <v>0</v>
      </c>
      <c r="AE22" s="49">
        <f>IF(AQ22="7",BI22,0)</f>
        <v>0</v>
      </c>
      <c r="AF22" s="49">
        <f>IF(AQ22="2",BH22,0)</f>
        <v>0</v>
      </c>
      <c r="AG22" s="49">
        <f>IF(AQ22="2",BI22,0)</f>
        <v>0</v>
      </c>
      <c r="AH22" s="49">
        <f>IF(AQ22="0",BJ22,0)</f>
        <v>0</v>
      </c>
      <c r="AI22" s="46"/>
      <c r="AJ22" s="34">
        <f>IF(AN22=0,K22,0)</f>
        <v>0</v>
      </c>
      <c r="AK22" s="34">
        <f>IF(AN22=15,K22,0)</f>
        <v>0</v>
      </c>
      <c r="AL22" s="34">
        <f>IF(AN22=21,K22,0)</f>
        <v>0</v>
      </c>
      <c r="AN22" s="49">
        <v>21</v>
      </c>
      <c r="AO22" s="49">
        <f>H22*0</f>
        <v>0</v>
      </c>
      <c r="AP22" s="49">
        <f>H22*(1-0)</f>
        <v>0</v>
      </c>
      <c r="AQ22" s="45" t="s">
        <v>59</v>
      </c>
      <c r="AV22" s="49">
        <f>AW22+AX22</f>
        <v>0</v>
      </c>
      <c r="AW22" s="49">
        <f>G22*AO22</f>
        <v>0</v>
      </c>
      <c r="AX22" s="49">
        <f>G22*AP22</f>
        <v>0</v>
      </c>
      <c r="AY22" s="50" t="s">
        <v>324</v>
      </c>
      <c r="AZ22" s="50" t="s">
        <v>338</v>
      </c>
      <c r="BA22" s="46" t="s">
        <v>345</v>
      </c>
      <c r="BC22" s="49">
        <f>AW22+AX22</f>
        <v>0</v>
      </c>
      <c r="BD22" s="49">
        <f>H22/(100-BE22)*100</f>
        <v>0</v>
      </c>
      <c r="BE22" s="49">
        <v>0</v>
      </c>
      <c r="BF22" s="49">
        <f>22</f>
        <v>22</v>
      </c>
      <c r="BH22" s="34">
        <f>G22*AO22</f>
        <v>0</v>
      </c>
      <c r="BI22" s="34">
        <f>G22*AP22</f>
        <v>0</v>
      </c>
      <c r="BJ22" s="34">
        <f>G22*H22</f>
        <v>0</v>
      </c>
    </row>
    <row r="23" spans="1:62" ht="12.75">
      <c r="A23" s="24" t="s">
        <v>68</v>
      </c>
      <c r="B23" s="24" t="s">
        <v>149</v>
      </c>
      <c r="C23" s="115" t="s">
        <v>225</v>
      </c>
      <c r="D23" s="116"/>
      <c r="E23" s="116"/>
      <c r="F23" s="24" t="s">
        <v>299</v>
      </c>
      <c r="G23" s="34">
        <v>0.53048</v>
      </c>
      <c r="H23" s="34">
        <v>0</v>
      </c>
      <c r="I23" s="34">
        <f>G23*AO23</f>
        <v>0</v>
      </c>
      <c r="J23" s="34">
        <f>G23*AP23</f>
        <v>0</v>
      </c>
      <c r="K23" s="34">
        <f>G23*H23</f>
        <v>0</v>
      </c>
      <c r="L23" s="45" t="s">
        <v>313</v>
      </c>
      <c r="Z23" s="49">
        <f>IF(AQ23="5",BJ23,0)</f>
        <v>0</v>
      </c>
      <c r="AB23" s="49">
        <f>IF(AQ23="1",BH23,0)</f>
        <v>0</v>
      </c>
      <c r="AC23" s="49">
        <f>IF(AQ23="1",BI23,0)</f>
        <v>0</v>
      </c>
      <c r="AD23" s="49">
        <f>IF(AQ23="7",BH23,0)</f>
        <v>0</v>
      </c>
      <c r="AE23" s="49">
        <f>IF(AQ23="7",BI23,0)</f>
        <v>0</v>
      </c>
      <c r="AF23" s="49">
        <f>IF(AQ23="2",BH23,0)</f>
        <v>0</v>
      </c>
      <c r="AG23" s="49">
        <f>IF(AQ23="2",BI23,0)</f>
        <v>0</v>
      </c>
      <c r="AH23" s="49">
        <f>IF(AQ23="0",BJ23,0)</f>
        <v>0</v>
      </c>
      <c r="AI23" s="46"/>
      <c r="AJ23" s="34">
        <f>IF(AN23=0,K23,0)</f>
        <v>0</v>
      </c>
      <c r="AK23" s="34">
        <f>IF(AN23=15,K23,0)</f>
        <v>0</v>
      </c>
      <c r="AL23" s="34">
        <f>IF(AN23=21,K23,0)</f>
        <v>0</v>
      </c>
      <c r="AN23" s="49">
        <v>21</v>
      </c>
      <c r="AO23" s="49">
        <f>H23*0</f>
        <v>0</v>
      </c>
      <c r="AP23" s="49">
        <f>H23*(1-0)</f>
        <v>0</v>
      </c>
      <c r="AQ23" s="45" t="s">
        <v>63</v>
      </c>
      <c r="AV23" s="49">
        <f>AW23+AX23</f>
        <v>0</v>
      </c>
      <c r="AW23" s="49">
        <f>G23*AO23</f>
        <v>0</v>
      </c>
      <c r="AX23" s="49">
        <f>G23*AP23</f>
        <v>0</v>
      </c>
      <c r="AY23" s="50" t="s">
        <v>324</v>
      </c>
      <c r="AZ23" s="50" t="s">
        <v>338</v>
      </c>
      <c r="BA23" s="46" t="s">
        <v>345</v>
      </c>
      <c r="BC23" s="49">
        <f>AW23+AX23</f>
        <v>0</v>
      </c>
      <c r="BD23" s="49">
        <f>H23/(100-BE23)*100</f>
        <v>0</v>
      </c>
      <c r="BE23" s="49">
        <v>0</v>
      </c>
      <c r="BF23" s="49">
        <f>23</f>
        <v>23</v>
      </c>
      <c r="BH23" s="34">
        <f>G23*AO23</f>
        <v>0</v>
      </c>
      <c r="BI23" s="34">
        <f>G23*AP23</f>
        <v>0</v>
      </c>
      <c r="BJ23" s="34">
        <f>G23*H23</f>
        <v>0</v>
      </c>
    </row>
    <row r="24" spans="1:62" ht="12.75">
      <c r="A24" s="24" t="s">
        <v>69</v>
      </c>
      <c r="B24" s="24" t="s">
        <v>150</v>
      </c>
      <c r="C24" s="115" t="s">
        <v>226</v>
      </c>
      <c r="D24" s="116"/>
      <c r="E24" s="116"/>
      <c r="F24" s="24" t="s">
        <v>299</v>
      </c>
      <c r="G24" s="34">
        <v>0.53048</v>
      </c>
      <c r="H24" s="34">
        <v>0</v>
      </c>
      <c r="I24" s="34">
        <f>G24*AO24</f>
        <v>0</v>
      </c>
      <c r="J24" s="34">
        <f>G24*AP24</f>
        <v>0</v>
      </c>
      <c r="K24" s="34">
        <f>G24*H24</f>
        <v>0</v>
      </c>
      <c r="L24" s="45" t="s">
        <v>313</v>
      </c>
      <c r="Z24" s="49">
        <f>IF(AQ24="5",BJ24,0)</f>
        <v>0</v>
      </c>
      <c r="AB24" s="49">
        <f>IF(AQ24="1",BH24,0)</f>
        <v>0</v>
      </c>
      <c r="AC24" s="49">
        <f>IF(AQ24="1",BI24,0)</f>
        <v>0</v>
      </c>
      <c r="AD24" s="49">
        <f>IF(AQ24="7",BH24,0)</f>
        <v>0</v>
      </c>
      <c r="AE24" s="49">
        <f>IF(AQ24="7",BI24,0)</f>
        <v>0</v>
      </c>
      <c r="AF24" s="49">
        <f>IF(AQ24="2",BH24,0)</f>
        <v>0</v>
      </c>
      <c r="AG24" s="49">
        <f>IF(AQ24="2",BI24,0)</f>
        <v>0</v>
      </c>
      <c r="AH24" s="49">
        <f>IF(AQ24="0",BJ24,0)</f>
        <v>0</v>
      </c>
      <c r="AI24" s="46"/>
      <c r="AJ24" s="34">
        <f>IF(AN24=0,K24,0)</f>
        <v>0</v>
      </c>
      <c r="AK24" s="34">
        <f>IF(AN24=15,K24,0)</f>
        <v>0</v>
      </c>
      <c r="AL24" s="34">
        <f>IF(AN24=21,K24,0)</f>
        <v>0</v>
      </c>
      <c r="AN24" s="49">
        <v>21</v>
      </c>
      <c r="AO24" s="49">
        <f>H24*0</f>
        <v>0</v>
      </c>
      <c r="AP24" s="49">
        <f>H24*(1-0)</f>
        <v>0</v>
      </c>
      <c r="AQ24" s="45" t="s">
        <v>63</v>
      </c>
      <c r="AV24" s="49">
        <f>AW24+AX24</f>
        <v>0</v>
      </c>
      <c r="AW24" s="49">
        <f>G24*AO24</f>
        <v>0</v>
      </c>
      <c r="AX24" s="49">
        <f>G24*AP24</f>
        <v>0</v>
      </c>
      <c r="AY24" s="50" t="s">
        <v>324</v>
      </c>
      <c r="AZ24" s="50" t="s">
        <v>338</v>
      </c>
      <c r="BA24" s="46" t="s">
        <v>345</v>
      </c>
      <c r="BC24" s="49">
        <f>AW24+AX24</f>
        <v>0</v>
      </c>
      <c r="BD24" s="49">
        <f>H24/(100-BE24)*100</f>
        <v>0</v>
      </c>
      <c r="BE24" s="49">
        <v>0</v>
      </c>
      <c r="BF24" s="49">
        <f>24</f>
        <v>24</v>
      </c>
      <c r="BH24" s="34">
        <f>G24*AO24</f>
        <v>0</v>
      </c>
      <c r="BI24" s="34">
        <f>G24*AP24</f>
        <v>0</v>
      </c>
      <c r="BJ24" s="34">
        <f>G24*H24</f>
        <v>0</v>
      </c>
    </row>
    <row r="25" spans="1:47" ht="12.75">
      <c r="A25" s="25"/>
      <c r="B25" s="32" t="s">
        <v>86</v>
      </c>
      <c r="C25" s="119" t="s">
        <v>227</v>
      </c>
      <c r="D25" s="120"/>
      <c r="E25" s="120"/>
      <c r="F25" s="25" t="s">
        <v>58</v>
      </c>
      <c r="G25" s="25" t="s">
        <v>58</v>
      </c>
      <c r="H25" s="25" t="s">
        <v>58</v>
      </c>
      <c r="I25" s="52">
        <f>SUM(I26:I30)</f>
        <v>0</v>
      </c>
      <c r="J25" s="52">
        <f>SUM(J26:J30)</f>
        <v>0</v>
      </c>
      <c r="K25" s="52">
        <f>SUM(K26:K30)</f>
        <v>0</v>
      </c>
      <c r="L25" s="46"/>
      <c r="AI25" s="46"/>
      <c r="AS25" s="52">
        <f>SUM(AJ26:AJ30)</f>
        <v>0</v>
      </c>
      <c r="AT25" s="52">
        <f>SUM(AK26:AK30)</f>
        <v>0</v>
      </c>
      <c r="AU25" s="52">
        <f>SUM(AL26:AL30)</f>
        <v>0</v>
      </c>
    </row>
    <row r="26" spans="1:62" ht="12.75">
      <c r="A26" s="24" t="s">
        <v>70</v>
      </c>
      <c r="B26" s="24" t="s">
        <v>151</v>
      </c>
      <c r="C26" s="115" t="s">
        <v>228</v>
      </c>
      <c r="D26" s="116"/>
      <c r="E26" s="116"/>
      <c r="F26" s="24" t="s">
        <v>300</v>
      </c>
      <c r="G26" s="34">
        <v>10.2</v>
      </c>
      <c r="H26" s="34">
        <v>0</v>
      </c>
      <c r="I26" s="34">
        <f>G26*AO26</f>
        <v>0</v>
      </c>
      <c r="J26" s="34">
        <f>G26*AP26</f>
        <v>0</v>
      </c>
      <c r="K26" s="34">
        <f>G26*H26</f>
        <v>0</v>
      </c>
      <c r="L26" s="45" t="s">
        <v>313</v>
      </c>
      <c r="Z26" s="49">
        <f>IF(AQ26="5",BJ26,0)</f>
        <v>0</v>
      </c>
      <c r="AB26" s="49">
        <f>IF(AQ26="1",BH26,0)</f>
        <v>0</v>
      </c>
      <c r="AC26" s="49">
        <f>IF(AQ26="1",BI26,0)</f>
        <v>0</v>
      </c>
      <c r="AD26" s="49">
        <f>IF(AQ26="7",BH26,0)</f>
        <v>0</v>
      </c>
      <c r="AE26" s="49">
        <f>IF(AQ26="7",BI26,0)</f>
        <v>0</v>
      </c>
      <c r="AF26" s="49">
        <f>IF(AQ26="2",BH26,0)</f>
        <v>0</v>
      </c>
      <c r="AG26" s="49">
        <f>IF(AQ26="2",BI26,0)</f>
        <v>0</v>
      </c>
      <c r="AH26" s="49">
        <f>IF(AQ26="0",BJ26,0)</f>
        <v>0</v>
      </c>
      <c r="AI26" s="46"/>
      <c r="AJ26" s="34">
        <f>IF(AN26=0,K26,0)</f>
        <v>0</v>
      </c>
      <c r="AK26" s="34">
        <f>IF(AN26=15,K26,0)</f>
        <v>0</v>
      </c>
      <c r="AL26" s="34">
        <f>IF(AN26=21,K26,0)</f>
        <v>0</v>
      </c>
      <c r="AN26" s="49">
        <v>21</v>
      </c>
      <c r="AO26" s="49">
        <f>H26*0.288269841269841</f>
        <v>0</v>
      </c>
      <c r="AP26" s="49">
        <f>H26*(1-0.288269841269841)</f>
        <v>0</v>
      </c>
      <c r="AQ26" s="45" t="s">
        <v>59</v>
      </c>
      <c r="AV26" s="49">
        <f>AW26+AX26</f>
        <v>0</v>
      </c>
      <c r="AW26" s="49">
        <f>G26*AO26</f>
        <v>0</v>
      </c>
      <c r="AX26" s="49">
        <f>G26*AP26</f>
        <v>0</v>
      </c>
      <c r="AY26" s="50" t="s">
        <v>325</v>
      </c>
      <c r="AZ26" s="50" t="s">
        <v>338</v>
      </c>
      <c r="BA26" s="46" t="s">
        <v>345</v>
      </c>
      <c r="BC26" s="49">
        <f>AW26+AX26</f>
        <v>0</v>
      </c>
      <c r="BD26" s="49">
        <f>H26/(100-BE26)*100</f>
        <v>0</v>
      </c>
      <c r="BE26" s="49">
        <v>0</v>
      </c>
      <c r="BF26" s="49">
        <f>26</f>
        <v>26</v>
      </c>
      <c r="BH26" s="34">
        <f>G26*AO26</f>
        <v>0</v>
      </c>
      <c r="BI26" s="34">
        <f>G26*AP26</f>
        <v>0</v>
      </c>
      <c r="BJ26" s="34">
        <f>G26*H26</f>
        <v>0</v>
      </c>
    </row>
    <row r="27" spans="1:62" ht="12.75">
      <c r="A27" s="24" t="s">
        <v>71</v>
      </c>
      <c r="B27" s="24" t="s">
        <v>152</v>
      </c>
      <c r="C27" s="115" t="s">
        <v>229</v>
      </c>
      <c r="D27" s="116"/>
      <c r="E27" s="116"/>
      <c r="F27" s="24" t="s">
        <v>300</v>
      </c>
      <c r="G27" s="34">
        <v>9</v>
      </c>
      <c r="H27" s="34">
        <v>0</v>
      </c>
      <c r="I27" s="34">
        <f>G27*AO27</f>
        <v>0</v>
      </c>
      <c r="J27" s="34">
        <f>G27*AP27</f>
        <v>0</v>
      </c>
      <c r="K27" s="34">
        <f>G27*H27</f>
        <v>0</v>
      </c>
      <c r="L27" s="45" t="s">
        <v>313</v>
      </c>
      <c r="Z27" s="49">
        <f>IF(AQ27="5",BJ27,0)</f>
        <v>0</v>
      </c>
      <c r="AB27" s="49">
        <f>IF(AQ27="1",BH27,0)</f>
        <v>0</v>
      </c>
      <c r="AC27" s="49">
        <f>IF(AQ27="1",BI27,0)</f>
        <v>0</v>
      </c>
      <c r="AD27" s="49">
        <f>IF(AQ27="7",BH27,0)</f>
        <v>0</v>
      </c>
      <c r="AE27" s="49">
        <f>IF(AQ27="7",BI27,0)</f>
        <v>0</v>
      </c>
      <c r="AF27" s="49">
        <f>IF(AQ27="2",BH27,0)</f>
        <v>0</v>
      </c>
      <c r="AG27" s="49">
        <f>IF(AQ27="2",BI27,0)</f>
        <v>0</v>
      </c>
      <c r="AH27" s="49">
        <f>IF(AQ27="0",BJ27,0)</f>
        <v>0</v>
      </c>
      <c r="AI27" s="46"/>
      <c r="AJ27" s="34">
        <f>IF(AN27=0,K27,0)</f>
        <v>0</v>
      </c>
      <c r="AK27" s="34">
        <f>IF(AN27=15,K27,0)</f>
        <v>0</v>
      </c>
      <c r="AL27" s="34">
        <f>IF(AN27=21,K27,0)</f>
        <v>0</v>
      </c>
      <c r="AN27" s="49">
        <v>21</v>
      </c>
      <c r="AO27" s="49">
        <f>H27*0.26214259233134</f>
        <v>0</v>
      </c>
      <c r="AP27" s="49">
        <f>H27*(1-0.26214259233134)</f>
        <v>0</v>
      </c>
      <c r="AQ27" s="45" t="s">
        <v>59</v>
      </c>
      <c r="AV27" s="49">
        <f>AW27+AX27</f>
        <v>0</v>
      </c>
      <c r="AW27" s="49">
        <f>G27*AO27</f>
        <v>0</v>
      </c>
      <c r="AX27" s="49">
        <f>G27*AP27</f>
        <v>0</v>
      </c>
      <c r="AY27" s="50" t="s">
        <v>325</v>
      </c>
      <c r="AZ27" s="50" t="s">
        <v>338</v>
      </c>
      <c r="BA27" s="46" t="s">
        <v>345</v>
      </c>
      <c r="BC27" s="49">
        <f>AW27+AX27</f>
        <v>0</v>
      </c>
      <c r="BD27" s="49">
        <f>H27/(100-BE27)*100</f>
        <v>0</v>
      </c>
      <c r="BE27" s="49">
        <v>0</v>
      </c>
      <c r="BF27" s="49">
        <f>27</f>
        <v>27</v>
      </c>
      <c r="BH27" s="34">
        <f>G27*AO27</f>
        <v>0</v>
      </c>
      <c r="BI27" s="34">
        <f>G27*AP27</f>
        <v>0</v>
      </c>
      <c r="BJ27" s="34">
        <f>G27*H27</f>
        <v>0</v>
      </c>
    </row>
    <row r="28" spans="1:62" ht="12.75">
      <c r="A28" s="24" t="s">
        <v>72</v>
      </c>
      <c r="B28" s="24" t="s">
        <v>153</v>
      </c>
      <c r="C28" s="115" t="s">
        <v>230</v>
      </c>
      <c r="D28" s="116"/>
      <c r="E28" s="116"/>
      <c r="F28" s="24" t="s">
        <v>300</v>
      </c>
      <c r="G28" s="34">
        <v>3.876</v>
      </c>
      <c r="H28" s="34">
        <v>0</v>
      </c>
      <c r="I28" s="34">
        <f>G28*AO28</f>
        <v>0</v>
      </c>
      <c r="J28" s="34">
        <f>G28*AP28</f>
        <v>0</v>
      </c>
      <c r="K28" s="34">
        <f>G28*H28</f>
        <v>0</v>
      </c>
      <c r="L28" s="45" t="s">
        <v>313</v>
      </c>
      <c r="Z28" s="49">
        <f>IF(AQ28="5",BJ28,0)</f>
        <v>0</v>
      </c>
      <c r="AB28" s="49">
        <f>IF(AQ28="1",BH28,0)</f>
        <v>0</v>
      </c>
      <c r="AC28" s="49">
        <f>IF(AQ28="1",BI28,0)</f>
        <v>0</v>
      </c>
      <c r="AD28" s="49">
        <f>IF(AQ28="7",BH28,0)</f>
        <v>0</v>
      </c>
      <c r="AE28" s="49">
        <f>IF(AQ28="7",BI28,0)</f>
        <v>0</v>
      </c>
      <c r="AF28" s="49">
        <f>IF(AQ28="2",BH28,0)</f>
        <v>0</v>
      </c>
      <c r="AG28" s="49">
        <f>IF(AQ28="2",BI28,0)</f>
        <v>0</v>
      </c>
      <c r="AH28" s="49">
        <f>IF(AQ28="0",BJ28,0)</f>
        <v>0</v>
      </c>
      <c r="AI28" s="46"/>
      <c r="AJ28" s="34">
        <f>IF(AN28=0,K28,0)</f>
        <v>0</v>
      </c>
      <c r="AK28" s="34">
        <f>IF(AN28=15,K28,0)</f>
        <v>0</v>
      </c>
      <c r="AL28" s="34">
        <f>IF(AN28=21,K28,0)</f>
        <v>0</v>
      </c>
      <c r="AN28" s="49">
        <v>21</v>
      </c>
      <c r="AO28" s="49">
        <f>H28*0.226713143972519</f>
        <v>0</v>
      </c>
      <c r="AP28" s="49">
        <f>H28*(1-0.226713143972519)</f>
        <v>0</v>
      </c>
      <c r="AQ28" s="45" t="s">
        <v>59</v>
      </c>
      <c r="AV28" s="49">
        <f>AW28+AX28</f>
        <v>0</v>
      </c>
      <c r="AW28" s="49">
        <f>G28*AO28</f>
        <v>0</v>
      </c>
      <c r="AX28" s="49">
        <f>G28*AP28</f>
        <v>0</v>
      </c>
      <c r="AY28" s="50" t="s">
        <v>325</v>
      </c>
      <c r="AZ28" s="50" t="s">
        <v>338</v>
      </c>
      <c r="BA28" s="46" t="s">
        <v>345</v>
      </c>
      <c r="BC28" s="49">
        <f>AW28+AX28</f>
        <v>0</v>
      </c>
      <c r="BD28" s="49">
        <f>H28/(100-BE28)*100</f>
        <v>0</v>
      </c>
      <c r="BE28" s="49">
        <v>0</v>
      </c>
      <c r="BF28" s="49">
        <f>28</f>
        <v>28</v>
      </c>
      <c r="BH28" s="34">
        <f>G28*AO28</f>
        <v>0</v>
      </c>
      <c r="BI28" s="34">
        <f>G28*AP28</f>
        <v>0</v>
      </c>
      <c r="BJ28" s="34">
        <f>G28*H28</f>
        <v>0</v>
      </c>
    </row>
    <row r="29" spans="1:62" ht="12.75">
      <c r="A29" s="24" t="s">
        <v>73</v>
      </c>
      <c r="B29" s="24" t="s">
        <v>149</v>
      </c>
      <c r="C29" s="115" t="s">
        <v>225</v>
      </c>
      <c r="D29" s="116"/>
      <c r="E29" s="116"/>
      <c r="F29" s="24" t="s">
        <v>299</v>
      </c>
      <c r="G29" s="34">
        <v>0.38083</v>
      </c>
      <c r="H29" s="34">
        <v>0</v>
      </c>
      <c r="I29" s="34">
        <f>G29*AO29</f>
        <v>0</v>
      </c>
      <c r="J29" s="34">
        <f>G29*AP29</f>
        <v>0</v>
      </c>
      <c r="K29" s="34">
        <f>G29*H29</f>
        <v>0</v>
      </c>
      <c r="L29" s="45" t="s">
        <v>313</v>
      </c>
      <c r="Z29" s="49">
        <f>IF(AQ29="5",BJ29,0)</f>
        <v>0</v>
      </c>
      <c r="AB29" s="49">
        <f>IF(AQ29="1",BH29,0)</f>
        <v>0</v>
      </c>
      <c r="AC29" s="49">
        <f>IF(AQ29="1",BI29,0)</f>
        <v>0</v>
      </c>
      <c r="AD29" s="49">
        <f>IF(AQ29="7",BH29,0)</f>
        <v>0</v>
      </c>
      <c r="AE29" s="49">
        <f>IF(AQ29="7",BI29,0)</f>
        <v>0</v>
      </c>
      <c r="AF29" s="49">
        <f>IF(AQ29="2",BH29,0)</f>
        <v>0</v>
      </c>
      <c r="AG29" s="49">
        <f>IF(AQ29="2",BI29,0)</f>
        <v>0</v>
      </c>
      <c r="AH29" s="49">
        <f>IF(AQ29="0",BJ29,0)</f>
        <v>0</v>
      </c>
      <c r="AI29" s="46"/>
      <c r="AJ29" s="34">
        <f>IF(AN29=0,K29,0)</f>
        <v>0</v>
      </c>
      <c r="AK29" s="34">
        <f>IF(AN29=15,K29,0)</f>
        <v>0</v>
      </c>
      <c r="AL29" s="34">
        <f>IF(AN29=21,K29,0)</f>
        <v>0</v>
      </c>
      <c r="AN29" s="49">
        <v>21</v>
      </c>
      <c r="AO29" s="49">
        <f>H29*0</f>
        <v>0</v>
      </c>
      <c r="AP29" s="49">
        <f>H29*(1-0)</f>
        <v>0</v>
      </c>
      <c r="AQ29" s="45" t="s">
        <v>63</v>
      </c>
      <c r="AV29" s="49">
        <f>AW29+AX29</f>
        <v>0</v>
      </c>
      <c r="AW29" s="49">
        <f>G29*AO29</f>
        <v>0</v>
      </c>
      <c r="AX29" s="49">
        <f>G29*AP29</f>
        <v>0</v>
      </c>
      <c r="AY29" s="50" t="s">
        <v>325</v>
      </c>
      <c r="AZ29" s="50" t="s">
        <v>338</v>
      </c>
      <c r="BA29" s="46" t="s">
        <v>345</v>
      </c>
      <c r="BC29" s="49">
        <f>AW29+AX29</f>
        <v>0</v>
      </c>
      <c r="BD29" s="49">
        <f>H29/(100-BE29)*100</f>
        <v>0</v>
      </c>
      <c r="BE29" s="49">
        <v>0</v>
      </c>
      <c r="BF29" s="49">
        <f>29</f>
        <v>29</v>
      </c>
      <c r="BH29" s="34">
        <f>G29*AO29</f>
        <v>0</v>
      </c>
      <c r="BI29" s="34">
        <f>G29*AP29</f>
        <v>0</v>
      </c>
      <c r="BJ29" s="34">
        <f>G29*H29</f>
        <v>0</v>
      </c>
    </row>
    <row r="30" spans="1:62" ht="12.75">
      <c r="A30" s="24" t="s">
        <v>74</v>
      </c>
      <c r="B30" s="24" t="s">
        <v>150</v>
      </c>
      <c r="C30" s="115" t="s">
        <v>226</v>
      </c>
      <c r="D30" s="116"/>
      <c r="E30" s="116"/>
      <c r="F30" s="24" t="s">
        <v>299</v>
      </c>
      <c r="G30" s="34">
        <v>0.38083</v>
      </c>
      <c r="H30" s="34">
        <v>0</v>
      </c>
      <c r="I30" s="34">
        <f>G30*AO30</f>
        <v>0</v>
      </c>
      <c r="J30" s="34">
        <f>G30*AP30</f>
        <v>0</v>
      </c>
      <c r="K30" s="34">
        <f>G30*H30</f>
        <v>0</v>
      </c>
      <c r="L30" s="45" t="s">
        <v>313</v>
      </c>
      <c r="Z30" s="49">
        <f>IF(AQ30="5",BJ30,0)</f>
        <v>0</v>
      </c>
      <c r="AB30" s="49">
        <f>IF(AQ30="1",BH30,0)</f>
        <v>0</v>
      </c>
      <c r="AC30" s="49">
        <f>IF(AQ30="1",BI30,0)</f>
        <v>0</v>
      </c>
      <c r="AD30" s="49">
        <f>IF(AQ30="7",BH30,0)</f>
        <v>0</v>
      </c>
      <c r="AE30" s="49">
        <f>IF(AQ30="7",BI30,0)</f>
        <v>0</v>
      </c>
      <c r="AF30" s="49">
        <f>IF(AQ30="2",BH30,0)</f>
        <v>0</v>
      </c>
      <c r="AG30" s="49">
        <f>IF(AQ30="2",BI30,0)</f>
        <v>0</v>
      </c>
      <c r="AH30" s="49">
        <f>IF(AQ30="0",BJ30,0)</f>
        <v>0</v>
      </c>
      <c r="AI30" s="46"/>
      <c r="AJ30" s="34">
        <f>IF(AN30=0,K30,0)</f>
        <v>0</v>
      </c>
      <c r="AK30" s="34">
        <f>IF(AN30=15,K30,0)</f>
        <v>0</v>
      </c>
      <c r="AL30" s="34">
        <f>IF(AN30=21,K30,0)</f>
        <v>0</v>
      </c>
      <c r="AN30" s="49">
        <v>21</v>
      </c>
      <c r="AO30" s="49">
        <f>H30*0</f>
        <v>0</v>
      </c>
      <c r="AP30" s="49">
        <f>H30*(1-0)</f>
        <v>0</v>
      </c>
      <c r="AQ30" s="45" t="s">
        <v>63</v>
      </c>
      <c r="AV30" s="49">
        <f>AW30+AX30</f>
        <v>0</v>
      </c>
      <c r="AW30" s="49">
        <f>G30*AO30</f>
        <v>0</v>
      </c>
      <c r="AX30" s="49">
        <f>G30*AP30</f>
        <v>0</v>
      </c>
      <c r="AY30" s="50" t="s">
        <v>325</v>
      </c>
      <c r="AZ30" s="50" t="s">
        <v>338</v>
      </c>
      <c r="BA30" s="46" t="s">
        <v>345</v>
      </c>
      <c r="BC30" s="49">
        <f>AW30+AX30</f>
        <v>0</v>
      </c>
      <c r="BD30" s="49">
        <f>H30/(100-BE30)*100</f>
        <v>0</v>
      </c>
      <c r="BE30" s="49">
        <v>0</v>
      </c>
      <c r="BF30" s="49">
        <f>30</f>
        <v>30</v>
      </c>
      <c r="BH30" s="34">
        <f>G30*AO30</f>
        <v>0</v>
      </c>
      <c r="BI30" s="34">
        <f>G30*AP30</f>
        <v>0</v>
      </c>
      <c r="BJ30" s="34">
        <f>G30*H30</f>
        <v>0</v>
      </c>
    </row>
    <row r="31" spans="1:47" ht="12.75">
      <c r="A31" s="25"/>
      <c r="B31" s="32" t="s">
        <v>92</v>
      </c>
      <c r="C31" s="119" t="s">
        <v>231</v>
      </c>
      <c r="D31" s="120"/>
      <c r="E31" s="120"/>
      <c r="F31" s="25" t="s">
        <v>58</v>
      </c>
      <c r="G31" s="25" t="s">
        <v>58</v>
      </c>
      <c r="H31" s="25" t="s">
        <v>58</v>
      </c>
      <c r="I31" s="52">
        <f>SUM(I32:I35)</f>
        <v>0</v>
      </c>
      <c r="J31" s="52">
        <f>SUM(J32:J35)</f>
        <v>0</v>
      </c>
      <c r="K31" s="52">
        <f>SUM(K32:K35)</f>
        <v>0</v>
      </c>
      <c r="L31" s="46"/>
      <c r="AI31" s="46"/>
      <c r="AS31" s="52">
        <f>SUM(AJ32:AJ35)</f>
        <v>0</v>
      </c>
      <c r="AT31" s="52">
        <f>SUM(AK32:AK35)</f>
        <v>0</v>
      </c>
      <c r="AU31" s="52">
        <f>SUM(AL32:AL35)</f>
        <v>0</v>
      </c>
    </row>
    <row r="32" spans="1:62" ht="12.75">
      <c r="A32" s="24" t="s">
        <v>75</v>
      </c>
      <c r="B32" s="24" t="s">
        <v>154</v>
      </c>
      <c r="C32" s="115" t="s">
        <v>232</v>
      </c>
      <c r="D32" s="116"/>
      <c r="E32" s="116"/>
      <c r="F32" s="24" t="s">
        <v>298</v>
      </c>
      <c r="G32" s="34">
        <v>9.34201</v>
      </c>
      <c r="H32" s="34">
        <v>0</v>
      </c>
      <c r="I32" s="34">
        <f>G32*AO32</f>
        <v>0</v>
      </c>
      <c r="J32" s="34">
        <f>G32*AP32</f>
        <v>0</v>
      </c>
      <c r="K32" s="34">
        <f>G32*H32</f>
        <v>0</v>
      </c>
      <c r="L32" s="45" t="s">
        <v>313</v>
      </c>
      <c r="Z32" s="49">
        <f>IF(AQ32="5",BJ32,0)</f>
        <v>0</v>
      </c>
      <c r="AB32" s="49">
        <f>IF(AQ32="1",BH32,0)</f>
        <v>0</v>
      </c>
      <c r="AC32" s="49">
        <f>IF(AQ32="1",BI32,0)</f>
        <v>0</v>
      </c>
      <c r="AD32" s="49">
        <f>IF(AQ32="7",BH32,0)</f>
        <v>0</v>
      </c>
      <c r="AE32" s="49">
        <f>IF(AQ32="7",BI32,0)</f>
        <v>0</v>
      </c>
      <c r="AF32" s="49">
        <f>IF(AQ32="2",BH32,0)</f>
        <v>0</v>
      </c>
      <c r="AG32" s="49">
        <f>IF(AQ32="2",BI32,0)</f>
        <v>0</v>
      </c>
      <c r="AH32" s="49">
        <f>IF(AQ32="0",BJ32,0)</f>
        <v>0</v>
      </c>
      <c r="AI32" s="46"/>
      <c r="AJ32" s="34">
        <f>IF(AN32=0,K32,0)</f>
        <v>0</v>
      </c>
      <c r="AK32" s="34">
        <f>IF(AN32=15,K32,0)</f>
        <v>0</v>
      </c>
      <c r="AL32" s="34">
        <f>IF(AN32=21,K32,0)</f>
        <v>0</v>
      </c>
      <c r="AN32" s="49">
        <v>21</v>
      </c>
      <c r="AO32" s="49">
        <f>H32*0.593733275267356</f>
        <v>0</v>
      </c>
      <c r="AP32" s="49">
        <f>H32*(1-0.593733275267356)</f>
        <v>0</v>
      </c>
      <c r="AQ32" s="45" t="s">
        <v>59</v>
      </c>
      <c r="AV32" s="49">
        <f>AW32+AX32</f>
        <v>0</v>
      </c>
      <c r="AW32" s="49">
        <f>G32*AO32</f>
        <v>0</v>
      </c>
      <c r="AX32" s="49">
        <f>G32*AP32</f>
        <v>0</v>
      </c>
      <c r="AY32" s="50" t="s">
        <v>326</v>
      </c>
      <c r="AZ32" s="50" t="s">
        <v>339</v>
      </c>
      <c r="BA32" s="46" t="s">
        <v>345</v>
      </c>
      <c r="BC32" s="49">
        <f>AW32+AX32</f>
        <v>0</v>
      </c>
      <c r="BD32" s="49">
        <f>H32/(100-BE32)*100</f>
        <v>0</v>
      </c>
      <c r="BE32" s="49">
        <v>0</v>
      </c>
      <c r="BF32" s="49">
        <f>32</f>
        <v>32</v>
      </c>
      <c r="BH32" s="34">
        <f>G32*AO32</f>
        <v>0</v>
      </c>
      <c r="BI32" s="34">
        <f>G32*AP32</f>
        <v>0</v>
      </c>
      <c r="BJ32" s="34">
        <f>G32*H32</f>
        <v>0</v>
      </c>
    </row>
    <row r="33" spans="1:62" ht="12.75">
      <c r="A33" s="24" t="s">
        <v>76</v>
      </c>
      <c r="B33" s="24" t="s">
        <v>155</v>
      </c>
      <c r="C33" s="115" t="s">
        <v>233</v>
      </c>
      <c r="D33" s="116"/>
      <c r="E33" s="116"/>
      <c r="F33" s="24" t="s">
        <v>298</v>
      </c>
      <c r="G33" s="34">
        <v>18.68403</v>
      </c>
      <c r="H33" s="34">
        <v>0</v>
      </c>
      <c r="I33" s="34">
        <f>G33*AO33</f>
        <v>0</v>
      </c>
      <c r="J33" s="34">
        <f>G33*AP33</f>
        <v>0</v>
      </c>
      <c r="K33" s="34">
        <f>G33*H33</f>
        <v>0</v>
      </c>
      <c r="L33" s="45" t="s">
        <v>313</v>
      </c>
      <c r="Z33" s="49">
        <f>IF(AQ33="5",BJ33,0)</f>
        <v>0</v>
      </c>
      <c r="AB33" s="49">
        <f>IF(AQ33="1",BH33,0)</f>
        <v>0</v>
      </c>
      <c r="AC33" s="49">
        <f>IF(AQ33="1",BI33,0)</f>
        <v>0</v>
      </c>
      <c r="AD33" s="49">
        <f>IF(AQ33="7",BH33,0)</f>
        <v>0</v>
      </c>
      <c r="AE33" s="49">
        <f>IF(AQ33="7",BI33,0)</f>
        <v>0</v>
      </c>
      <c r="AF33" s="49">
        <f>IF(AQ33="2",BH33,0)</f>
        <v>0</v>
      </c>
      <c r="AG33" s="49">
        <f>IF(AQ33="2",BI33,0)</f>
        <v>0</v>
      </c>
      <c r="AH33" s="49">
        <f>IF(AQ33="0",BJ33,0)</f>
        <v>0</v>
      </c>
      <c r="AI33" s="46"/>
      <c r="AJ33" s="34">
        <f>IF(AN33=0,K33,0)</f>
        <v>0</v>
      </c>
      <c r="AK33" s="34">
        <f>IF(AN33=15,K33,0)</f>
        <v>0</v>
      </c>
      <c r="AL33" s="34">
        <f>IF(AN33=21,K33,0)</f>
        <v>0</v>
      </c>
      <c r="AN33" s="49">
        <v>21</v>
      </c>
      <c r="AO33" s="49">
        <f>H33*0.344224531811964</f>
        <v>0</v>
      </c>
      <c r="AP33" s="49">
        <f>H33*(1-0.344224531811964)</f>
        <v>0</v>
      </c>
      <c r="AQ33" s="45" t="s">
        <v>59</v>
      </c>
      <c r="AV33" s="49">
        <f>AW33+AX33</f>
        <v>0</v>
      </c>
      <c r="AW33" s="49">
        <f>G33*AO33</f>
        <v>0</v>
      </c>
      <c r="AX33" s="49">
        <f>G33*AP33</f>
        <v>0</v>
      </c>
      <c r="AY33" s="50" t="s">
        <v>326</v>
      </c>
      <c r="AZ33" s="50" t="s">
        <v>339</v>
      </c>
      <c r="BA33" s="46" t="s">
        <v>345</v>
      </c>
      <c r="BC33" s="49">
        <f>AW33+AX33</f>
        <v>0</v>
      </c>
      <c r="BD33" s="49">
        <f>H33/(100-BE33)*100</f>
        <v>0</v>
      </c>
      <c r="BE33" s="49">
        <v>0</v>
      </c>
      <c r="BF33" s="49">
        <f>33</f>
        <v>33</v>
      </c>
      <c r="BH33" s="34">
        <f>G33*AO33</f>
        <v>0</v>
      </c>
      <c r="BI33" s="34">
        <f>G33*AP33</f>
        <v>0</v>
      </c>
      <c r="BJ33" s="34">
        <f>G33*H33</f>
        <v>0</v>
      </c>
    </row>
    <row r="34" spans="1:62" ht="12.75">
      <c r="A34" s="24" t="s">
        <v>77</v>
      </c>
      <c r="B34" s="24" t="s">
        <v>149</v>
      </c>
      <c r="C34" s="115" t="s">
        <v>225</v>
      </c>
      <c r="D34" s="116"/>
      <c r="E34" s="116"/>
      <c r="F34" s="24" t="s">
        <v>299</v>
      </c>
      <c r="G34" s="34">
        <v>0.96512</v>
      </c>
      <c r="H34" s="34">
        <v>0</v>
      </c>
      <c r="I34" s="34">
        <f>G34*AO34</f>
        <v>0</v>
      </c>
      <c r="J34" s="34">
        <f>G34*AP34</f>
        <v>0</v>
      </c>
      <c r="K34" s="34">
        <f>G34*H34</f>
        <v>0</v>
      </c>
      <c r="L34" s="45" t="s">
        <v>313</v>
      </c>
      <c r="Z34" s="49">
        <f>IF(AQ34="5",BJ34,0)</f>
        <v>0</v>
      </c>
      <c r="AB34" s="49">
        <f>IF(AQ34="1",BH34,0)</f>
        <v>0</v>
      </c>
      <c r="AC34" s="49">
        <f>IF(AQ34="1",BI34,0)</f>
        <v>0</v>
      </c>
      <c r="AD34" s="49">
        <f>IF(AQ34="7",BH34,0)</f>
        <v>0</v>
      </c>
      <c r="AE34" s="49">
        <f>IF(AQ34="7",BI34,0)</f>
        <v>0</v>
      </c>
      <c r="AF34" s="49">
        <f>IF(AQ34="2",BH34,0)</f>
        <v>0</v>
      </c>
      <c r="AG34" s="49">
        <f>IF(AQ34="2",BI34,0)</f>
        <v>0</v>
      </c>
      <c r="AH34" s="49">
        <f>IF(AQ34="0",BJ34,0)</f>
        <v>0</v>
      </c>
      <c r="AI34" s="46"/>
      <c r="AJ34" s="34">
        <f>IF(AN34=0,K34,0)</f>
        <v>0</v>
      </c>
      <c r="AK34" s="34">
        <f>IF(AN34=15,K34,0)</f>
        <v>0</v>
      </c>
      <c r="AL34" s="34">
        <f>IF(AN34=21,K34,0)</f>
        <v>0</v>
      </c>
      <c r="AN34" s="49">
        <v>21</v>
      </c>
      <c r="AO34" s="49">
        <f>H34*0</f>
        <v>0</v>
      </c>
      <c r="AP34" s="49">
        <f>H34*(1-0)</f>
        <v>0</v>
      </c>
      <c r="AQ34" s="45" t="s">
        <v>63</v>
      </c>
      <c r="AV34" s="49">
        <f>AW34+AX34</f>
        <v>0</v>
      </c>
      <c r="AW34" s="49">
        <f>G34*AO34</f>
        <v>0</v>
      </c>
      <c r="AX34" s="49">
        <f>G34*AP34</f>
        <v>0</v>
      </c>
      <c r="AY34" s="50" t="s">
        <v>326</v>
      </c>
      <c r="AZ34" s="50" t="s">
        <v>339</v>
      </c>
      <c r="BA34" s="46" t="s">
        <v>345</v>
      </c>
      <c r="BC34" s="49">
        <f>AW34+AX34</f>
        <v>0</v>
      </c>
      <c r="BD34" s="49">
        <f>H34/(100-BE34)*100</f>
        <v>0</v>
      </c>
      <c r="BE34" s="49">
        <v>0</v>
      </c>
      <c r="BF34" s="49">
        <f>34</f>
        <v>34</v>
      </c>
      <c r="BH34" s="34">
        <f>G34*AO34</f>
        <v>0</v>
      </c>
      <c r="BI34" s="34">
        <f>G34*AP34</f>
        <v>0</v>
      </c>
      <c r="BJ34" s="34">
        <f>G34*H34</f>
        <v>0</v>
      </c>
    </row>
    <row r="35" spans="1:62" ht="12.75">
      <c r="A35" s="24" t="s">
        <v>78</v>
      </c>
      <c r="B35" s="24" t="s">
        <v>150</v>
      </c>
      <c r="C35" s="115" t="s">
        <v>226</v>
      </c>
      <c r="D35" s="116"/>
      <c r="E35" s="116"/>
      <c r="F35" s="24" t="s">
        <v>299</v>
      </c>
      <c r="G35" s="34">
        <v>0.96512</v>
      </c>
      <c r="H35" s="34">
        <v>0</v>
      </c>
      <c r="I35" s="34">
        <f>G35*AO35</f>
        <v>0</v>
      </c>
      <c r="J35" s="34">
        <f>G35*AP35</f>
        <v>0</v>
      </c>
      <c r="K35" s="34">
        <f>G35*H35</f>
        <v>0</v>
      </c>
      <c r="L35" s="45" t="s">
        <v>313</v>
      </c>
      <c r="Z35" s="49">
        <f>IF(AQ35="5",BJ35,0)</f>
        <v>0</v>
      </c>
      <c r="AB35" s="49">
        <f>IF(AQ35="1",BH35,0)</f>
        <v>0</v>
      </c>
      <c r="AC35" s="49">
        <f>IF(AQ35="1",BI35,0)</f>
        <v>0</v>
      </c>
      <c r="AD35" s="49">
        <f>IF(AQ35="7",BH35,0)</f>
        <v>0</v>
      </c>
      <c r="AE35" s="49">
        <f>IF(AQ35="7",BI35,0)</f>
        <v>0</v>
      </c>
      <c r="AF35" s="49">
        <f>IF(AQ35="2",BH35,0)</f>
        <v>0</v>
      </c>
      <c r="AG35" s="49">
        <f>IF(AQ35="2",BI35,0)</f>
        <v>0</v>
      </c>
      <c r="AH35" s="49">
        <f>IF(AQ35="0",BJ35,0)</f>
        <v>0</v>
      </c>
      <c r="AI35" s="46"/>
      <c r="AJ35" s="34">
        <f>IF(AN35=0,K35,0)</f>
        <v>0</v>
      </c>
      <c r="AK35" s="34">
        <f>IF(AN35=15,K35,0)</f>
        <v>0</v>
      </c>
      <c r="AL35" s="34">
        <f>IF(AN35=21,K35,0)</f>
        <v>0</v>
      </c>
      <c r="AN35" s="49">
        <v>21</v>
      </c>
      <c r="AO35" s="49">
        <f>H35*0</f>
        <v>0</v>
      </c>
      <c r="AP35" s="49">
        <f>H35*(1-0)</f>
        <v>0</v>
      </c>
      <c r="AQ35" s="45" t="s">
        <v>63</v>
      </c>
      <c r="AV35" s="49">
        <f>AW35+AX35</f>
        <v>0</v>
      </c>
      <c r="AW35" s="49">
        <f>G35*AO35</f>
        <v>0</v>
      </c>
      <c r="AX35" s="49">
        <f>G35*AP35</f>
        <v>0</v>
      </c>
      <c r="AY35" s="50" t="s">
        <v>326</v>
      </c>
      <c r="AZ35" s="50" t="s">
        <v>339</v>
      </c>
      <c r="BA35" s="46" t="s">
        <v>345</v>
      </c>
      <c r="BC35" s="49">
        <f>AW35+AX35</f>
        <v>0</v>
      </c>
      <c r="BD35" s="49">
        <f>H35/(100-BE35)*100</f>
        <v>0</v>
      </c>
      <c r="BE35" s="49">
        <v>0</v>
      </c>
      <c r="BF35" s="49">
        <f>35</f>
        <v>35</v>
      </c>
      <c r="BH35" s="34">
        <f>G35*AO35</f>
        <v>0</v>
      </c>
      <c r="BI35" s="34">
        <f>G35*AP35</f>
        <v>0</v>
      </c>
      <c r="BJ35" s="34">
        <f>G35*H35</f>
        <v>0</v>
      </c>
    </row>
    <row r="36" spans="1:47" ht="12.75">
      <c r="A36" s="25"/>
      <c r="B36" s="32" t="s">
        <v>118</v>
      </c>
      <c r="C36" s="119" t="s">
        <v>234</v>
      </c>
      <c r="D36" s="120"/>
      <c r="E36" s="120"/>
      <c r="F36" s="25" t="s">
        <v>58</v>
      </c>
      <c r="G36" s="25" t="s">
        <v>58</v>
      </c>
      <c r="H36" s="25" t="s">
        <v>58</v>
      </c>
      <c r="I36" s="52">
        <f>SUM(I37:I49)</f>
        <v>0</v>
      </c>
      <c r="J36" s="52">
        <f>SUM(J37:J49)</f>
        <v>0</v>
      </c>
      <c r="K36" s="52">
        <f>SUM(K37:K49)</f>
        <v>0</v>
      </c>
      <c r="L36" s="46"/>
      <c r="AI36" s="46"/>
      <c r="AS36" s="52">
        <f>SUM(AJ37:AJ49)</f>
        <v>0</v>
      </c>
      <c r="AT36" s="52">
        <f>SUM(AK37:AK49)</f>
        <v>0</v>
      </c>
      <c r="AU36" s="52">
        <f>SUM(AL37:AL49)</f>
        <v>0</v>
      </c>
    </row>
    <row r="37" spans="1:62" ht="12.75">
      <c r="A37" s="24" t="s">
        <v>79</v>
      </c>
      <c r="B37" s="24" t="s">
        <v>156</v>
      </c>
      <c r="C37" s="115" t="s">
        <v>235</v>
      </c>
      <c r="D37" s="116"/>
      <c r="E37" s="116"/>
      <c r="F37" s="24" t="s">
        <v>298</v>
      </c>
      <c r="G37" s="34">
        <v>29.64</v>
      </c>
      <c r="H37" s="34">
        <v>0</v>
      </c>
      <c r="I37" s="34">
        <f aca="true" t="shared" si="22" ref="I37:I49">G37*AO37</f>
        <v>0</v>
      </c>
      <c r="J37" s="34">
        <f aca="true" t="shared" si="23" ref="J37:J49">G37*AP37</f>
        <v>0</v>
      </c>
      <c r="K37" s="34">
        <f aca="true" t="shared" si="24" ref="K37:K49">G37*H37</f>
        <v>0</v>
      </c>
      <c r="L37" s="45" t="s">
        <v>313</v>
      </c>
      <c r="Z37" s="49">
        <f aca="true" t="shared" si="25" ref="Z37:Z49">IF(AQ37="5",BJ37,0)</f>
        <v>0</v>
      </c>
      <c r="AB37" s="49">
        <f aca="true" t="shared" si="26" ref="AB37:AB49">IF(AQ37="1",BH37,0)</f>
        <v>0</v>
      </c>
      <c r="AC37" s="49">
        <f aca="true" t="shared" si="27" ref="AC37:AC49">IF(AQ37="1",BI37,0)</f>
        <v>0</v>
      </c>
      <c r="AD37" s="49">
        <f aca="true" t="shared" si="28" ref="AD37:AD49">IF(AQ37="7",BH37,0)</f>
        <v>0</v>
      </c>
      <c r="AE37" s="49">
        <f aca="true" t="shared" si="29" ref="AE37:AE49">IF(AQ37="7",BI37,0)</f>
        <v>0</v>
      </c>
      <c r="AF37" s="49">
        <f aca="true" t="shared" si="30" ref="AF37:AF49">IF(AQ37="2",BH37,0)</f>
        <v>0</v>
      </c>
      <c r="AG37" s="49">
        <f aca="true" t="shared" si="31" ref="AG37:AG49">IF(AQ37="2",BI37,0)</f>
        <v>0</v>
      </c>
      <c r="AH37" s="49">
        <f aca="true" t="shared" si="32" ref="AH37:AH49">IF(AQ37="0",BJ37,0)</f>
        <v>0</v>
      </c>
      <c r="AI37" s="46"/>
      <c r="AJ37" s="34">
        <f aca="true" t="shared" si="33" ref="AJ37:AJ49">IF(AN37=0,K37,0)</f>
        <v>0</v>
      </c>
      <c r="AK37" s="34">
        <f aca="true" t="shared" si="34" ref="AK37:AK49">IF(AN37=15,K37,0)</f>
        <v>0</v>
      </c>
      <c r="AL37" s="34">
        <f aca="true" t="shared" si="35" ref="AL37:AL49">IF(AN37=21,K37,0)</f>
        <v>0</v>
      </c>
      <c r="AN37" s="49">
        <v>21</v>
      </c>
      <c r="AO37" s="49">
        <f>H37*0.371429109832287</f>
        <v>0</v>
      </c>
      <c r="AP37" s="49">
        <f>H37*(1-0.371429109832287)</f>
        <v>0</v>
      </c>
      <c r="AQ37" s="45" t="s">
        <v>59</v>
      </c>
      <c r="AV37" s="49">
        <f aca="true" t="shared" si="36" ref="AV37:AV49">AW37+AX37</f>
        <v>0</v>
      </c>
      <c r="AW37" s="49">
        <f aca="true" t="shared" si="37" ref="AW37:AW49">G37*AO37</f>
        <v>0</v>
      </c>
      <c r="AX37" s="49">
        <f aca="true" t="shared" si="38" ref="AX37:AX49">G37*AP37</f>
        <v>0</v>
      </c>
      <c r="AY37" s="50" t="s">
        <v>327</v>
      </c>
      <c r="AZ37" s="50" t="s">
        <v>340</v>
      </c>
      <c r="BA37" s="46" t="s">
        <v>345</v>
      </c>
      <c r="BC37" s="49">
        <f aca="true" t="shared" si="39" ref="BC37:BC49">AW37+AX37</f>
        <v>0</v>
      </c>
      <c r="BD37" s="49">
        <f aca="true" t="shared" si="40" ref="BD37:BD49">H37/(100-BE37)*100</f>
        <v>0</v>
      </c>
      <c r="BE37" s="49">
        <v>0</v>
      </c>
      <c r="BF37" s="49">
        <f>37</f>
        <v>37</v>
      </c>
      <c r="BH37" s="34">
        <f aca="true" t="shared" si="41" ref="BH37:BH49">G37*AO37</f>
        <v>0</v>
      </c>
      <c r="BI37" s="34">
        <f aca="true" t="shared" si="42" ref="BI37:BI49">G37*AP37</f>
        <v>0</v>
      </c>
      <c r="BJ37" s="34">
        <f aca="true" t="shared" si="43" ref="BJ37:BJ49">G37*H37</f>
        <v>0</v>
      </c>
    </row>
    <row r="38" spans="1:62" ht="12.75">
      <c r="A38" s="24" t="s">
        <v>80</v>
      </c>
      <c r="B38" s="24" t="s">
        <v>157</v>
      </c>
      <c r="C38" s="115" t="s">
        <v>236</v>
      </c>
      <c r="D38" s="116"/>
      <c r="E38" s="116"/>
      <c r="F38" s="24" t="s">
        <v>298</v>
      </c>
      <c r="G38" s="34">
        <v>29.64</v>
      </c>
      <c r="H38" s="34">
        <v>0</v>
      </c>
      <c r="I38" s="34">
        <f t="shared" si="22"/>
        <v>0</v>
      </c>
      <c r="J38" s="34">
        <f t="shared" si="23"/>
        <v>0</v>
      </c>
      <c r="K38" s="34">
        <f t="shared" si="24"/>
        <v>0</v>
      </c>
      <c r="L38" s="45" t="s">
        <v>313</v>
      </c>
      <c r="Z38" s="49">
        <f t="shared" si="25"/>
        <v>0</v>
      </c>
      <c r="AB38" s="49">
        <f t="shared" si="26"/>
        <v>0</v>
      </c>
      <c r="AC38" s="49">
        <f t="shared" si="27"/>
        <v>0</v>
      </c>
      <c r="AD38" s="49">
        <f t="shared" si="28"/>
        <v>0</v>
      </c>
      <c r="AE38" s="49">
        <f t="shared" si="29"/>
        <v>0</v>
      </c>
      <c r="AF38" s="49">
        <f t="shared" si="30"/>
        <v>0</v>
      </c>
      <c r="AG38" s="49">
        <f t="shared" si="31"/>
        <v>0</v>
      </c>
      <c r="AH38" s="49">
        <f t="shared" si="32"/>
        <v>0</v>
      </c>
      <c r="AI38" s="46"/>
      <c r="AJ38" s="34">
        <f t="shared" si="33"/>
        <v>0</v>
      </c>
      <c r="AK38" s="34">
        <f t="shared" si="34"/>
        <v>0</v>
      </c>
      <c r="AL38" s="34">
        <f t="shared" si="35"/>
        <v>0</v>
      </c>
      <c r="AN38" s="49">
        <v>21</v>
      </c>
      <c r="AO38" s="49">
        <f>H38*0.30636583011583</f>
        <v>0</v>
      </c>
      <c r="AP38" s="49">
        <f>H38*(1-0.30636583011583)</f>
        <v>0</v>
      </c>
      <c r="AQ38" s="45" t="s">
        <v>59</v>
      </c>
      <c r="AV38" s="49">
        <f t="shared" si="36"/>
        <v>0</v>
      </c>
      <c r="AW38" s="49">
        <f t="shared" si="37"/>
        <v>0</v>
      </c>
      <c r="AX38" s="49">
        <f t="shared" si="38"/>
        <v>0</v>
      </c>
      <c r="AY38" s="50" t="s">
        <v>327</v>
      </c>
      <c r="AZ38" s="50" t="s">
        <v>340</v>
      </c>
      <c r="BA38" s="46" t="s">
        <v>345</v>
      </c>
      <c r="BC38" s="49">
        <f t="shared" si="39"/>
        <v>0</v>
      </c>
      <c r="BD38" s="49">
        <f t="shared" si="40"/>
        <v>0</v>
      </c>
      <c r="BE38" s="49">
        <v>0</v>
      </c>
      <c r="BF38" s="49">
        <f>38</f>
        <v>38</v>
      </c>
      <c r="BH38" s="34">
        <f t="shared" si="41"/>
        <v>0</v>
      </c>
      <c r="BI38" s="34">
        <f t="shared" si="42"/>
        <v>0</v>
      </c>
      <c r="BJ38" s="34">
        <f t="shared" si="43"/>
        <v>0</v>
      </c>
    </row>
    <row r="39" spans="1:62" ht="12.75">
      <c r="A39" s="24" t="s">
        <v>81</v>
      </c>
      <c r="B39" s="24" t="s">
        <v>158</v>
      </c>
      <c r="C39" s="115" t="s">
        <v>237</v>
      </c>
      <c r="D39" s="116"/>
      <c r="E39" s="116"/>
      <c r="F39" s="24" t="s">
        <v>298</v>
      </c>
      <c r="G39" s="34">
        <v>29.64</v>
      </c>
      <c r="H39" s="34">
        <v>0</v>
      </c>
      <c r="I39" s="34">
        <f t="shared" si="22"/>
        <v>0</v>
      </c>
      <c r="J39" s="34">
        <f t="shared" si="23"/>
        <v>0</v>
      </c>
      <c r="K39" s="34">
        <f t="shared" si="24"/>
        <v>0</v>
      </c>
      <c r="L39" s="45" t="s">
        <v>313</v>
      </c>
      <c r="Z39" s="49">
        <f t="shared" si="25"/>
        <v>0</v>
      </c>
      <c r="AB39" s="49">
        <f t="shared" si="26"/>
        <v>0</v>
      </c>
      <c r="AC39" s="49">
        <f t="shared" si="27"/>
        <v>0</v>
      </c>
      <c r="AD39" s="49">
        <f t="shared" si="28"/>
        <v>0</v>
      </c>
      <c r="AE39" s="49">
        <f t="shared" si="29"/>
        <v>0</v>
      </c>
      <c r="AF39" s="49">
        <f t="shared" si="30"/>
        <v>0</v>
      </c>
      <c r="AG39" s="49">
        <f t="shared" si="31"/>
        <v>0</v>
      </c>
      <c r="AH39" s="49">
        <f t="shared" si="32"/>
        <v>0</v>
      </c>
      <c r="AI39" s="46"/>
      <c r="AJ39" s="34">
        <f t="shared" si="33"/>
        <v>0</v>
      </c>
      <c r="AK39" s="34">
        <f t="shared" si="34"/>
        <v>0</v>
      </c>
      <c r="AL39" s="34">
        <f t="shared" si="35"/>
        <v>0</v>
      </c>
      <c r="AN39" s="49">
        <v>21</v>
      </c>
      <c r="AO39" s="49">
        <f>H39*0.137605962600005</f>
        <v>0</v>
      </c>
      <c r="AP39" s="49">
        <f>H39*(1-0.137605962600005)</f>
        <v>0</v>
      </c>
      <c r="AQ39" s="45" t="s">
        <v>59</v>
      </c>
      <c r="AV39" s="49">
        <f t="shared" si="36"/>
        <v>0</v>
      </c>
      <c r="AW39" s="49">
        <f t="shared" si="37"/>
        <v>0</v>
      </c>
      <c r="AX39" s="49">
        <f t="shared" si="38"/>
        <v>0</v>
      </c>
      <c r="AY39" s="50" t="s">
        <v>327</v>
      </c>
      <c r="AZ39" s="50" t="s">
        <v>340</v>
      </c>
      <c r="BA39" s="46" t="s">
        <v>345</v>
      </c>
      <c r="BC39" s="49">
        <f t="shared" si="39"/>
        <v>0</v>
      </c>
      <c r="BD39" s="49">
        <f t="shared" si="40"/>
        <v>0</v>
      </c>
      <c r="BE39" s="49">
        <v>0</v>
      </c>
      <c r="BF39" s="49">
        <f>39</f>
        <v>39</v>
      </c>
      <c r="BH39" s="34">
        <f t="shared" si="41"/>
        <v>0</v>
      </c>
      <c r="BI39" s="34">
        <f t="shared" si="42"/>
        <v>0</v>
      </c>
      <c r="BJ39" s="34">
        <f t="shared" si="43"/>
        <v>0</v>
      </c>
    </row>
    <row r="40" spans="1:62" ht="12.75">
      <c r="A40" s="24" t="s">
        <v>82</v>
      </c>
      <c r="B40" s="24" t="s">
        <v>159</v>
      </c>
      <c r="C40" s="115" t="s">
        <v>238</v>
      </c>
      <c r="D40" s="116"/>
      <c r="E40" s="116"/>
      <c r="F40" s="24" t="s">
        <v>298</v>
      </c>
      <c r="G40" s="34">
        <v>27.36</v>
      </c>
      <c r="H40" s="34">
        <v>0</v>
      </c>
      <c r="I40" s="34">
        <f t="shared" si="22"/>
        <v>0</v>
      </c>
      <c r="J40" s="34">
        <f t="shared" si="23"/>
        <v>0</v>
      </c>
      <c r="K40" s="34">
        <f t="shared" si="24"/>
        <v>0</v>
      </c>
      <c r="L40" s="45" t="s">
        <v>313</v>
      </c>
      <c r="Z40" s="49">
        <f t="shared" si="25"/>
        <v>0</v>
      </c>
      <c r="AB40" s="49">
        <f t="shared" si="26"/>
        <v>0</v>
      </c>
      <c r="AC40" s="49">
        <f t="shared" si="27"/>
        <v>0</v>
      </c>
      <c r="AD40" s="49">
        <f t="shared" si="28"/>
        <v>0</v>
      </c>
      <c r="AE40" s="49">
        <f t="shared" si="29"/>
        <v>0</v>
      </c>
      <c r="AF40" s="49">
        <f t="shared" si="30"/>
        <v>0</v>
      </c>
      <c r="AG40" s="49">
        <f t="shared" si="31"/>
        <v>0</v>
      </c>
      <c r="AH40" s="49">
        <f t="shared" si="32"/>
        <v>0</v>
      </c>
      <c r="AI40" s="46"/>
      <c r="AJ40" s="34">
        <f t="shared" si="33"/>
        <v>0</v>
      </c>
      <c r="AK40" s="34">
        <f t="shared" si="34"/>
        <v>0</v>
      </c>
      <c r="AL40" s="34">
        <f t="shared" si="35"/>
        <v>0</v>
      </c>
      <c r="AN40" s="49">
        <v>21</v>
      </c>
      <c r="AO40" s="49">
        <f>H40*0.362052979344009</f>
        <v>0</v>
      </c>
      <c r="AP40" s="49">
        <f>H40*(1-0.362052979344009)</f>
        <v>0</v>
      </c>
      <c r="AQ40" s="45" t="s">
        <v>59</v>
      </c>
      <c r="AV40" s="49">
        <f t="shared" si="36"/>
        <v>0</v>
      </c>
      <c r="AW40" s="49">
        <f t="shared" si="37"/>
        <v>0</v>
      </c>
      <c r="AX40" s="49">
        <f t="shared" si="38"/>
        <v>0</v>
      </c>
      <c r="AY40" s="50" t="s">
        <v>327</v>
      </c>
      <c r="AZ40" s="50" t="s">
        <v>340</v>
      </c>
      <c r="BA40" s="46" t="s">
        <v>345</v>
      </c>
      <c r="BC40" s="49">
        <f t="shared" si="39"/>
        <v>0</v>
      </c>
      <c r="BD40" s="49">
        <f t="shared" si="40"/>
        <v>0</v>
      </c>
      <c r="BE40" s="49">
        <v>0</v>
      </c>
      <c r="BF40" s="49">
        <f>40</f>
        <v>40</v>
      </c>
      <c r="BH40" s="34">
        <f t="shared" si="41"/>
        <v>0</v>
      </c>
      <c r="BI40" s="34">
        <f t="shared" si="42"/>
        <v>0</v>
      </c>
      <c r="BJ40" s="34">
        <f t="shared" si="43"/>
        <v>0</v>
      </c>
    </row>
    <row r="41" spans="1:62" ht="12.75">
      <c r="A41" s="24" t="s">
        <v>83</v>
      </c>
      <c r="B41" s="24" t="s">
        <v>160</v>
      </c>
      <c r="C41" s="115" t="s">
        <v>239</v>
      </c>
      <c r="D41" s="116"/>
      <c r="E41" s="116"/>
      <c r="F41" s="24" t="s">
        <v>298</v>
      </c>
      <c r="G41" s="34">
        <v>27.36</v>
      </c>
      <c r="H41" s="34">
        <v>0</v>
      </c>
      <c r="I41" s="34">
        <f t="shared" si="22"/>
        <v>0</v>
      </c>
      <c r="J41" s="34">
        <f t="shared" si="23"/>
        <v>0</v>
      </c>
      <c r="K41" s="34">
        <f t="shared" si="24"/>
        <v>0</v>
      </c>
      <c r="L41" s="45" t="s">
        <v>313</v>
      </c>
      <c r="Z41" s="49">
        <f t="shared" si="25"/>
        <v>0</v>
      </c>
      <c r="AB41" s="49">
        <f t="shared" si="26"/>
        <v>0</v>
      </c>
      <c r="AC41" s="49">
        <f t="shared" si="27"/>
        <v>0</v>
      </c>
      <c r="AD41" s="49">
        <f t="shared" si="28"/>
        <v>0</v>
      </c>
      <c r="AE41" s="49">
        <f t="shared" si="29"/>
        <v>0</v>
      </c>
      <c r="AF41" s="49">
        <f t="shared" si="30"/>
        <v>0</v>
      </c>
      <c r="AG41" s="49">
        <f t="shared" si="31"/>
        <v>0</v>
      </c>
      <c r="AH41" s="49">
        <f t="shared" si="32"/>
        <v>0</v>
      </c>
      <c r="AI41" s="46"/>
      <c r="AJ41" s="34">
        <f t="shared" si="33"/>
        <v>0</v>
      </c>
      <c r="AK41" s="34">
        <f t="shared" si="34"/>
        <v>0</v>
      </c>
      <c r="AL41" s="34">
        <f t="shared" si="35"/>
        <v>0</v>
      </c>
      <c r="AN41" s="49">
        <v>21</v>
      </c>
      <c r="AO41" s="49">
        <f>H41*0.545294117647059</f>
        <v>0</v>
      </c>
      <c r="AP41" s="49">
        <f>H41*(1-0.545294117647059)</f>
        <v>0</v>
      </c>
      <c r="AQ41" s="45" t="s">
        <v>59</v>
      </c>
      <c r="AV41" s="49">
        <f t="shared" si="36"/>
        <v>0</v>
      </c>
      <c r="AW41" s="49">
        <f t="shared" si="37"/>
        <v>0</v>
      </c>
      <c r="AX41" s="49">
        <f t="shared" si="38"/>
        <v>0</v>
      </c>
      <c r="AY41" s="50" t="s">
        <v>327</v>
      </c>
      <c r="AZ41" s="50" t="s">
        <v>340</v>
      </c>
      <c r="BA41" s="46" t="s">
        <v>345</v>
      </c>
      <c r="BC41" s="49">
        <f t="shared" si="39"/>
        <v>0</v>
      </c>
      <c r="BD41" s="49">
        <f t="shared" si="40"/>
        <v>0</v>
      </c>
      <c r="BE41" s="49">
        <v>0</v>
      </c>
      <c r="BF41" s="49">
        <f>41</f>
        <v>41</v>
      </c>
      <c r="BH41" s="34">
        <f t="shared" si="41"/>
        <v>0</v>
      </c>
      <c r="BI41" s="34">
        <f t="shared" si="42"/>
        <v>0</v>
      </c>
      <c r="BJ41" s="34">
        <f t="shared" si="43"/>
        <v>0</v>
      </c>
    </row>
    <row r="42" spans="1:62" ht="12.75">
      <c r="A42" s="24" t="s">
        <v>84</v>
      </c>
      <c r="B42" s="24" t="s">
        <v>160</v>
      </c>
      <c r="C42" s="115" t="s">
        <v>240</v>
      </c>
      <c r="D42" s="116"/>
      <c r="E42" s="116"/>
      <c r="F42" s="24" t="s">
        <v>298</v>
      </c>
      <c r="G42" s="34">
        <v>27.36</v>
      </c>
      <c r="H42" s="34">
        <v>0</v>
      </c>
      <c r="I42" s="34">
        <f t="shared" si="22"/>
        <v>0</v>
      </c>
      <c r="J42" s="34">
        <f t="shared" si="23"/>
        <v>0</v>
      </c>
      <c r="K42" s="34">
        <f t="shared" si="24"/>
        <v>0</v>
      </c>
      <c r="L42" s="45" t="s">
        <v>313</v>
      </c>
      <c r="Z42" s="49">
        <f t="shared" si="25"/>
        <v>0</v>
      </c>
      <c r="AB42" s="49">
        <f t="shared" si="26"/>
        <v>0</v>
      </c>
      <c r="AC42" s="49">
        <f t="shared" si="27"/>
        <v>0</v>
      </c>
      <c r="AD42" s="49">
        <f t="shared" si="28"/>
        <v>0</v>
      </c>
      <c r="AE42" s="49">
        <f t="shared" si="29"/>
        <v>0</v>
      </c>
      <c r="AF42" s="49">
        <f t="shared" si="30"/>
        <v>0</v>
      </c>
      <c r="AG42" s="49">
        <f t="shared" si="31"/>
        <v>0</v>
      </c>
      <c r="AH42" s="49">
        <f t="shared" si="32"/>
        <v>0</v>
      </c>
      <c r="AI42" s="46"/>
      <c r="AJ42" s="34">
        <f t="shared" si="33"/>
        <v>0</v>
      </c>
      <c r="AK42" s="34">
        <f t="shared" si="34"/>
        <v>0</v>
      </c>
      <c r="AL42" s="34">
        <f t="shared" si="35"/>
        <v>0</v>
      </c>
      <c r="AN42" s="49">
        <v>21</v>
      </c>
      <c r="AO42" s="49">
        <f>H42*0.545294117647059</f>
        <v>0</v>
      </c>
      <c r="AP42" s="49">
        <f>H42*(1-0.545294117647059)</f>
        <v>0</v>
      </c>
      <c r="AQ42" s="45" t="s">
        <v>59</v>
      </c>
      <c r="AV42" s="49">
        <f t="shared" si="36"/>
        <v>0</v>
      </c>
      <c r="AW42" s="49">
        <f t="shared" si="37"/>
        <v>0</v>
      </c>
      <c r="AX42" s="49">
        <f t="shared" si="38"/>
        <v>0</v>
      </c>
      <c r="AY42" s="50" t="s">
        <v>327</v>
      </c>
      <c r="AZ42" s="50" t="s">
        <v>340</v>
      </c>
      <c r="BA42" s="46" t="s">
        <v>345</v>
      </c>
      <c r="BC42" s="49">
        <f t="shared" si="39"/>
        <v>0</v>
      </c>
      <c r="BD42" s="49">
        <f t="shared" si="40"/>
        <v>0</v>
      </c>
      <c r="BE42" s="49">
        <v>0</v>
      </c>
      <c r="BF42" s="49">
        <f>42</f>
        <v>42</v>
      </c>
      <c r="BH42" s="34">
        <f t="shared" si="41"/>
        <v>0</v>
      </c>
      <c r="BI42" s="34">
        <f t="shared" si="42"/>
        <v>0</v>
      </c>
      <c r="BJ42" s="34">
        <f t="shared" si="43"/>
        <v>0</v>
      </c>
    </row>
    <row r="43" spans="1:62" ht="12.75">
      <c r="A43" s="24" t="s">
        <v>85</v>
      </c>
      <c r="B43" s="24" t="s">
        <v>161</v>
      </c>
      <c r="C43" s="115" t="s">
        <v>241</v>
      </c>
      <c r="D43" s="116"/>
      <c r="E43" s="116"/>
      <c r="F43" s="24" t="s">
        <v>298</v>
      </c>
      <c r="G43" s="34">
        <v>27.36</v>
      </c>
      <c r="H43" s="34">
        <v>0</v>
      </c>
      <c r="I43" s="34">
        <f t="shared" si="22"/>
        <v>0</v>
      </c>
      <c r="J43" s="34">
        <f t="shared" si="23"/>
        <v>0</v>
      </c>
      <c r="K43" s="34">
        <f t="shared" si="24"/>
        <v>0</v>
      </c>
      <c r="L43" s="45" t="s">
        <v>313</v>
      </c>
      <c r="Z43" s="49">
        <f t="shared" si="25"/>
        <v>0</v>
      </c>
      <c r="AB43" s="49">
        <f t="shared" si="26"/>
        <v>0</v>
      </c>
      <c r="AC43" s="49">
        <f t="shared" si="27"/>
        <v>0</v>
      </c>
      <c r="AD43" s="49">
        <f t="shared" si="28"/>
        <v>0</v>
      </c>
      <c r="AE43" s="49">
        <f t="shared" si="29"/>
        <v>0</v>
      </c>
      <c r="AF43" s="49">
        <f t="shared" si="30"/>
        <v>0</v>
      </c>
      <c r="AG43" s="49">
        <f t="shared" si="31"/>
        <v>0</v>
      </c>
      <c r="AH43" s="49">
        <f t="shared" si="32"/>
        <v>0</v>
      </c>
      <c r="AI43" s="46"/>
      <c r="AJ43" s="34">
        <f t="shared" si="33"/>
        <v>0</v>
      </c>
      <c r="AK43" s="34">
        <f t="shared" si="34"/>
        <v>0</v>
      </c>
      <c r="AL43" s="34">
        <f t="shared" si="35"/>
        <v>0</v>
      </c>
      <c r="AN43" s="49">
        <v>21</v>
      </c>
      <c r="AO43" s="49">
        <f>H43*0.23735593220339</f>
        <v>0</v>
      </c>
      <c r="AP43" s="49">
        <f>H43*(1-0.23735593220339)</f>
        <v>0</v>
      </c>
      <c r="AQ43" s="45" t="s">
        <v>59</v>
      </c>
      <c r="AV43" s="49">
        <f t="shared" si="36"/>
        <v>0</v>
      </c>
      <c r="AW43" s="49">
        <f t="shared" si="37"/>
        <v>0</v>
      </c>
      <c r="AX43" s="49">
        <f t="shared" si="38"/>
        <v>0</v>
      </c>
      <c r="AY43" s="50" t="s">
        <v>327</v>
      </c>
      <c r="AZ43" s="50" t="s">
        <v>340</v>
      </c>
      <c r="BA43" s="46" t="s">
        <v>345</v>
      </c>
      <c r="BC43" s="49">
        <f t="shared" si="39"/>
        <v>0</v>
      </c>
      <c r="BD43" s="49">
        <f t="shared" si="40"/>
        <v>0</v>
      </c>
      <c r="BE43" s="49">
        <v>0</v>
      </c>
      <c r="BF43" s="49">
        <f>43</f>
        <v>43</v>
      </c>
      <c r="BH43" s="34">
        <f t="shared" si="41"/>
        <v>0</v>
      </c>
      <c r="BI43" s="34">
        <f t="shared" si="42"/>
        <v>0</v>
      </c>
      <c r="BJ43" s="34">
        <f t="shared" si="43"/>
        <v>0</v>
      </c>
    </row>
    <row r="44" spans="1:62" ht="12.75">
      <c r="A44" s="24" t="s">
        <v>86</v>
      </c>
      <c r="B44" s="24" t="s">
        <v>162</v>
      </c>
      <c r="C44" s="115" t="s">
        <v>242</v>
      </c>
      <c r="D44" s="116"/>
      <c r="E44" s="116"/>
      <c r="F44" s="24" t="s">
        <v>298</v>
      </c>
      <c r="G44" s="34">
        <v>28.044</v>
      </c>
      <c r="H44" s="34">
        <v>0</v>
      </c>
      <c r="I44" s="34">
        <f t="shared" si="22"/>
        <v>0</v>
      </c>
      <c r="J44" s="34">
        <f t="shared" si="23"/>
        <v>0</v>
      </c>
      <c r="K44" s="34">
        <f t="shared" si="24"/>
        <v>0</v>
      </c>
      <c r="L44" s="45" t="s">
        <v>313</v>
      </c>
      <c r="Z44" s="49">
        <f t="shared" si="25"/>
        <v>0</v>
      </c>
      <c r="AB44" s="49">
        <f t="shared" si="26"/>
        <v>0</v>
      </c>
      <c r="AC44" s="49">
        <f t="shared" si="27"/>
        <v>0</v>
      </c>
      <c r="AD44" s="49">
        <f t="shared" si="28"/>
        <v>0</v>
      </c>
      <c r="AE44" s="49">
        <f t="shared" si="29"/>
        <v>0</v>
      </c>
      <c r="AF44" s="49">
        <f t="shared" si="30"/>
        <v>0</v>
      </c>
      <c r="AG44" s="49">
        <f t="shared" si="31"/>
        <v>0</v>
      </c>
      <c r="AH44" s="49">
        <f t="shared" si="32"/>
        <v>0</v>
      </c>
      <c r="AI44" s="46"/>
      <c r="AJ44" s="34">
        <f t="shared" si="33"/>
        <v>0</v>
      </c>
      <c r="AK44" s="34">
        <f t="shared" si="34"/>
        <v>0</v>
      </c>
      <c r="AL44" s="34">
        <f t="shared" si="35"/>
        <v>0</v>
      </c>
      <c r="AN44" s="49">
        <v>21</v>
      </c>
      <c r="AO44" s="49">
        <f>H44*0.390383836620702</f>
        <v>0</v>
      </c>
      <c r="AP44" s="49">
        <f>H44*(1-0.390383836620702)</f>
        <v>0</v>
      </c>
      <c r="AQ44" s="45" t="s">
        <v>59</v>
      </c>
      <c r="AV44" s="49">
        <f t="shared" si="36"/>
        <v>0</v>
      </c>
      <c r="AW44" s="49">
        <f t="shared" si="37"/>
        <v>0</v>
      </c>
      <c r="AX44" s="49">
        <f t="shared" si="38"/>
        <v>0</v>
      </c>
      <c r="AY44" s="50" t="s">
        <v>327</v>
      </c>
      <c r="AZ44" s="50" t="s">
        <v>340</v>
      </c>
      <c r="BA44" s="46" t="s">
        <v>345</v>
      </c>
      <c r="BC44" s="49">
        <f t="shared" si="39"/>
        <v>0</v>
      </c>
      <c r="BD44" s="49">
        <f t="shared" si="40"/>
        <v>0</v>
      </c>
      <c r="BE44" s="49">
        <v>0</v>
      </c>
      <c r="BF44" s="49">
        <f>44</f>
        <v>44</v>
      </c>
      <c r="BH44" s="34">
        <f t="shared" si="41"/>
        <v>0</v>
      </c>
      <c r="BI44" s="34">
        <f t="shared" si="42"/>
        <v>0</v>
      </c>
      <c r="BJ44" s="34">
        <f t="shared" si="43"/>
        <v>0</v>
      </c>
    </row>
    <row r="45" spans="1:62" ht="12.75">
      <c r="A45" s="24" t="s">
        <v>87</v>
      </c>
      <c r="B45" s="24" t="s">
        <v>163</v>
      </c>
      <c r="C45" s="115" t="s">
        <v>243</v>
      </c>
      <c r="D45" s="116"/>
      <c r="E45" s="116"/>
      <c r="F45" s="24" t="s">
        <v>298</v>
      </c>
      <c r="G45" s="34">
        <v>28.044</v>
      </c>
      <c r="H45" s="34">
        <v>0</v>
      </c>
      <c r="I45" s="34">
        <f t="shared" si="22"/>
        <v>0</v>
      </c>
      <c r="J45" s="34">
        <f t="shared" si="23"/>
        <v>0</v>
      </c>
      <c r="K45" s="34">
        <f t="shared" si="24"/>
        <v>0</v>
      </c>
      <c r="L45" s="45" t="s">
        <v>313</v>
      </c>
      <c r="Z45" s="49">
        <f t="shared" si="25"/>
        <v>0</v>
      </c>
      <c r="AB45" s="49">
        <f t="shared" si="26"/>
        <v>0</v>
      </c>
      <c r="AC45" s="49">
        <f t="shared" si="27"/>
        <v>0</v>
      </c>
      <c r="AD45" s="49">
        <f t="shared" si="28"/>
        <v>0</v>
      </c>
      <c r="AE45" s="49">
        <f t="shared" si="29"/>
        <v>0</v>
      </c>
      <c r="AF45" s="49">
        <f t="shared" si="30"/>
        <v>0</v>
      </c>
      <c r="AG45" s="49">
        <f t="shared" si="31"/>
        <v>0</v>
      </c>
      <c r="AH45" s="49">
        <f t="shared" si="32"/>
        <v>0</v>
      </c>
      <c r="AI45" s="46"/>
      <c r="AJ45" s="34">
        <f t="shared" si="33"/>
        <v>0</v>
      </c>
      <c r="AK45" s="34">
        <f t="shared" si="34"/>
        <v>0</v>
      </c>
      <c r="AL45" s="34">
        <f t="shared" si="35"/>
        <v>0</v>
      </c>
      <c r="AN45" s="49">
        <v>21</v>
      </c>
      <c r="AO45" s="49">
        <f>H45*0.309597343091731</f>
        <v>0</v>
      </c>
      <c r="AP45" s="49">
        <f>H45*(1-0.309597343091731)</f>
        <v>0</v>
      </c>
      <c r="AQ45" s="45" t="s">
        <v>59</v>
      </c>
      <c r="AV45" s="49">
        <f t="shared" si="36"/>
        <v>0</v>
      </c>
      <c r="AW45" s="49">
        <f t="shared" si="37"/>
        <v>0</v>
      </c>
      <c r="AX45" s="49">
        <f t="shared" si="38"/>
        <v>0</v>
      </c>
      <c r="AY45" s="50" t="s">
        <v>327</v>
      </c>
      <c r="AZ45" s="50" t="s">
        <v>340</v>
      </c>
      <c r="BA45" s="46" t="s">
        <v>345</v>
      </c>
      <c r="BC45" s="49">
        <f t="shared" si="39"/>
        <v>0</v>
      </c>
      <c r="BD45" s="49">
        <f t="shared" si="40"/>
        <v>0</v>
      </c>
      <c r="BE45" s="49">
        <v>0</v>
      </c>
      <c r="BF45" s="49">
        <f>45</f>
        <v>45</v>
      </c>
      <c r="BH45" s="34">
        <f t="shared" si="41"/>
        <v>0</v>
      </c>
      <c r="BI45" s="34">
        <f t="shared" si="42"/>
        <v>0</v>
      </c>
      <c r="BJ45" s="34">
        <f t="shared" si="43"/>
        <v>0</v>
      </c>
    </row>
    <row r="46" spans="1:62" ht="12.75">
      <c r="A46" s="24" t="s">
        <v>88</v>
      </c>
      <c r="B46" s="24" t="s">
        <v>163</v>
      </c>
      <c r="C46" s="115" t="s">
        <v>244</v>
      </c>
      <c r="D46" s="116"/>
      <c r="E46" s="116"/>
      <c r="F46" s="24" t="s">
        <v>298</v>
      </c>
      <c r="G46" s="34">
        <v>28.044</v>
      </c>
      <c r="H46" s="34">
        <v>0</v>
      </c>
      <c r="I46" s="34">
        <f t="shared" si="22"/>
        <v>0</v>
      </c>
      <c r="J46" s="34">
        <f t="shared" si="23"/>
        <v>0</v>
      </c>
      <c r="K46" s="34">
        <f t="shared" si="24"/>
        <v>0</v>
      </c>
      <c r="L46" s="45" t="s">
        <v>313</v>
      </c>
      <c r="Z46" s="49">
        <f t="shared" si="25"/>
        <v>0</v>
      </c>
      <c r="AB46" s="49">
        <f t="shared" si="26"/>
        <v>0</v>
      </c>
      <c r="AC46" s="49">
        <f t="shared" si="27"/>
        <v>0</v>
      </c>
      <c r="AD46" s="49">
        <f t="shared" si="28"/>
        <v>0</v>
      </c>
      <c r="AE46" s="49">
        <f t="shared" si="29"/>
        <v>0</v>
      </c>
      <c r="AF46" s="49">
        <f t="shared" si="30"/>
        <v>0</v>
      </c>
      <c r="AG46" s="49">
        <f t="shared" si="31"/>
        <v>0</v>
      </c>
      <c r="AH46" s="49">
        <f t="shared" si="32"/>
        <v>0</v>
      </c>
      <c r="AI46" s="46"/>
      <c r="AJ46" s="34">
        <f t="shared" si="33"/>
        <v>0</v>
      </c>
      <c r="AK46" s="34">
        <f t="shared" si="34"/>
        <v>0</v>
      </c>
      <c r="AL46" s="34">
        <f t="shared" si="35"/>
        <v>0</v>
      </c>
      <c r="AN46" s="49">
        <v>21</v>
      </c>
      <c r="AO46" s="49">
        <f>H46*0.309597343091731</f>
        <v>0</v>
      </c>
      <c r="AP46" s="49">
        <f>H46*(1-0.309597343091731)</f>
        <v>0</v>
      </c>
      <c r="AQ46" s="45" t="s">
        <v>59</v>
      </c>
      <c r="AV46" s="49">
        <f t="shared" si="36"/>
        <v>0</v>
      </c>
      <c r="AW46" s="49">
        <f t="shared" si="37"/>
        <v>0</v>
      </c>
      <c r="AX46" s="49">
        <f t="shared" si="38"/>
        <v>0</v>
      </c>
      <c r="AY46" s="50" t="s">
        <v>327</v>
      </c>
      <c r="AZ46" s="50" t="s">
        <v>340</v>
      </c>
      <c r="BA46" s="46" t="s">
        <v>345</v>
      </c>
      <c r="BC46" s="49">
        <f t="shared" si="39"/>
        <v>0</v>
      </c>
      <c r="BD46" s="49">
        <f t="shared" si="40"/>
        <v>0</v>
      </c>
      <c r="BE46" s="49">
        <v>0</v>
      </c>
      <c r="BF46" s="49">
        <f>46</f>
        <v>46</v>
      </c>
      <c r="BH46" s="34">
        <f t="shared" si="41"/>
        <v>0</v>
      </c>
      <c r="BI46" s="34">
        <f t="shared" si="42"/>
        <v>0</v>
      </c>
      <c r="BJ46" s="34">
        <f t="shared" si="43"/>
        <v>0</v>
      </c>
    </row>
    <row r="47" spans="1:62" ht="12.75">
      <c r="A47" s="24" t="s">
        <v>89</v>
      </c>
      <c r="B47" s="24" t="s">
        <v>164</v>
      </c>
      <c r="C47" s="115" t="s">
        <v>245</v>
      </c>
      <c r="D47" s="116"/>
      <c r="E47" s="116"/>
      <c r="F47" s="24" t="s">
        <v>298</v>
      </c>
      <c r="G47" s="34">
        <v>28.044</v>
      </c>
      <c r="H47" s="34">
        <v>0</v>
      </c>
      <c r="I47" s="34">
        <f t="shared" si="22"/>
        <v>0</v>
      </c>
      <c r="J47" s="34">
        <f t="shared" si="23"/>
        <v>0</v>
      </c>
      <c r="K47" s="34">
        <f t="shared" si="24"/>
        <v>0</v>
      </c>
      <c r="L47" s="45" t="s">
        <v>313</v>
      </c>
      <c r="Z47" s="49">
        <f t="shared" si="25"/>
        <v>0</v>
      </c>
      <c r="AB47" s="49">
        <f t="shared" si="26"/>
        <v>0</v>
      </c>
      <c r="AC47" s="49">
        <f t="shared" si="27"/>
        <v>0</v>
      </c>
      <c r="AD47" s="49">
        <f t="shared" si="28"/>
        <v>0</v>
      </c>
      <c r="AE47" s="49">
        <f t="shared" si="29"/>
        <v>0</v>
      </c>
      <c r="AF47" s="49">
        <f t="shared" si="30"/>
        <v>0</v>
      </c>
      <c r="AG47" s="49">
        <f t="shared" si="31"/>
        <v>0</v>
      </c>
      <c r="AH47" s="49">
        <f t="shared" si="32"/>
        <v>0</v>
      </c>
      <c r="AI47" s="46"/>
      <c r="AJ47" s="34">
        <f t="shared" si="33"/>
        <v>0</v>
      </c>
      <c r="AK47" s="34">
        <f t="shared" si="34"/>
        <v>0</v>
      </c>
      <c r="AL47" s="34">
        <f t="shared" si="35"/>
        <v>0</v>
      </c>
      <c r="AN47" s="49">
        <v>21</v>
      </c>
      <c r="AO47" s="49">
        <f>H47*0.0969477356307354</f>
        <v>0</v>
      </c>
      <c r="AP47" s="49">
        <f>H47*(1-0.0969477356307354)</f>
        <v>0</v>
      </c>
      <c r="AQ47" s="45" t="s">
        <v>59</v>
      </c>
      <c r="AV47" s="49">
        <f t="shared" si="36"/>
        <v>0</v>
      </c>
      <c r="AW47" s="49">
        <f t="shared" si="37"/>
        <v>0</v>
      </c>
      <c r="AX47" s="49">
        <f t="shared" si="38"/>
        <v>0</v>
      </c>
      <c r="AY47" s="50" t="s">
        <v>327</v>
      </c>
      <c r="AZ47" s="50" t="s">
        <v>340</v>
      </c>
      <c r="BA47" s="46" t="s">
        <v>345</v>
      </c>
      <c r="BC47" s="49">
        <f t="shared" si="39"/>
        <v>0</v>
      </c>
      <c r="BD47" s="49">
        <f t="shared" si="40"/>
        <v>0</v>
      </c>
      <c r="BE47" s="49">
        <v>0</v>
      </c>
      <c r="BF47" s="49">
        <f>47</f>
        <v>47</v>
      </c>
      <c r="BH47" s="34">
        <f t="shared" si="41"/>
        <v>0</v>
      </c>
      <c r="BI47" s="34">
        <f t="shared" si="42"/>
        <v>0</v>
      </c>
      <c r="BJ47" s="34">
        <f t="shared" si="43"/>
        <v>0</v>
      </c>
    </row>
    <row r="48" spans="1:62" ht="12.75">
      <c r="A48" s="24" t="s">
        <v>90</v>
      </c>
      <c r="B48" s="24" t="s">
        <v>149</v>
      </c>
      <c r="C48" s="115" t="s">
        <v>225</v>
      </c>
      <c r="D48" s="116"/>
      <c r="E48" s="116"/>
      <c r="F48" s="24" t="s">
        <v>299</v>
      </c>
      <c r="G48" s="34">
        <v>3.48021</v>
      </c>
      <c r="H48" s="34">
        <v>0</v>
      </c>
      <c r="I48" s="34">
        <f t="shared" si="22"/>
        <v>0</v>
      </c>
      <c r="J48" s="34">
        <f t="shared" si="23"/>
        <v>0</v>
      </c>
      <c r="K48" s="34">
        <f t="shared" si="24"/>
        <v>0</v>
      </c>
      <c r="L48" s="45" t="s">
        <v>313</v>
      </c>
      <c r="Z48" s="49">
        <f t="shared" si="25"/>
        <v>0</v>
      </c>
      <c r="AB48" s="49">
        <f t="shared" si="26"/>
        <v>0</v>
      </c>
      <c r="AC48" s="49">
        <f t="shared" si="27"/>
        <v>0</v>
      </c>
      <c r="AD48" s="49">
        <f t="shared" si="28"/>
        <v>0</v>
      </c>
      <c r="AE48" s="49">
        <f t="shared" si="29"/>
        <v>0</v>
      </c>
      <c r="AF48" s="49">
        <f t="shared" si="30"/>
        <v>0</v>
      </c>
      <c r="AG48" s="49">
        <f t="shared" si="31"/>
        <v>0</v>
      </c>
      <c r="AH48" s="49">
        <f t="shared" si="32"/>
        <v>0</v>
      </c>
      <c r="AI48" s="46"/>
      <c r="AJ48" s="34">
        <f t="shared" si="33"/>
        <v>0</v>
      </c>
      <c r="AK48" s="34">
        <f t="shared" si="34"/>
        <v>0</v>
      </c>
      <c r="AL48" s="34">
        <f t="shared" si="35"/>
        <v>0</v>
      </c>
      <c r="AN48" s="49">
        <v>21</v>
      </c>
      <c r="AO48" s="49">
        <f>H48*0</f>
        <v>0</v>
      </c>
      <c r="AP48" s="49">
        <f>H48*(1-0)</f>
        <v>0</v>
      </c>
      <c r="AQ48" s="45" t="s">
        <v>63</v>
      </c>
      <c r="AV48" s="49">
        <f t="shared" si="36"/>
        <v>0</v>
      </c>
      <c r="AW48" s="49">
        <f t="shared" si="37"/>
        <v>0</v>
      </c>
      <c r="AX48" s="49">
        <f t="shared" si="38"/>
        <v>0</v>
      </c>
      <c r="AY48" s="50" t="s">
        <v>327</v>
      </c>
      <c r="AZ48" s="50" t="s">
        <v>340</v>
      </c>
      <c r="BA48" s="46" t="s">
        <v>345</v>
      </c>
      <c r="BC48" s="49">
        <f t="shared" si="39"/>
        <v>0</v>
      </c>
      <c r="BD48" s="49">
        <f t="shared" si="40"/>
        <v>0</v>
      </c>
      <c r="BE48" s="49">
        <v>0</v>
      </c>
      <c r="BF48" s="49">
        <f>48</f>
        <v>48</v>
      </c>
      <c r="BH48" s="34">
        <f t="shared" si="41"/>
        <v>0</v>
      </c>
      <c r="BI48" s="34">
        <f t="shared" si="42"/>
        <v>0</v>
      </c>
      <c r="BJ48" s="34">
        <f t="shared" si="43"/>
        <v>0</v>
      </c>
    </row>
    <row r="49" spans="1:62" ht="12.75">
      <c r="A49" s="24" t="s">
        <v>91</v>
      </c>
      <c r="B49" s="24" t="s">
        <v>150</v>
      </c>
      <c r="C49" s="115" t="s">
        <v>226</v>
      </c>
      <c r="D49" s="116"/>
      <c r="E49" s="116"/>
      <c r="F49" s="24" t="s">
        <v>299</v>
      </c>
      <c r="G49" s="34">
        <v>3.48021</v>
      </c>
      <c r="H49" s="34">
        <v>0</v>
      </c>
      <c r="I49" s="34">
        <f t="shared" si="22"/>
        <v>0</v>
      </c>
      <c r="J49" s="34">
        <f t="shared" si="23"/>
        <v>0</v>
      </c>
      <c r="K49" s="34">
        <f t="shared" si="24"/>
        <v>0</v>
      </c>
      <c r="L49" s="45" t="s">
        <v>313</v>
      </c>
      <c r="Z49" s="49">
        <f t="shared" si="25"/>
        <v>0</v>
      </c>
      <c r="AB49" s="49">
        <f t="shared" si="26"/>
        <v>0</v>
      </c>
      <c r="AC49" s="49">
        <f t="shared" si="27"/>
        <v>0</v>
      </c>
      <c r="AD49" s="49">
        <f t="shared" si="28"/>
        <v>0</v>
      </c>
      <c r="AE49" s="49">
        <f t="shared" si="29"/>
        <v>0</v>
      </c>
      <c r="AF49" s="49">
        <f t="shared" si="30"/>
        <v>0</v>
      </c>
      <c r="AG49" s="49">
        <f t="shared" si="31"/>
        <v>0</v>
      </c>
      <c r="AH49" s="49">
        <f t="shared" si="32"/>
        <v>0</v>
      </c>
      <c r="AI49" s="46"/>
      <c r="AJ49" s="34">
        <f t="shared" si="33"/>
        <v>0</v>
      </c>
      <c r="AK49" s="34">
        <f t="shared" si="34"/>
        <v>0</v>
      </c>
      <c r="AL49" s="34">
        <f t="shared" si="35"/>
        <v>0</v>
      </c>
      <c r="AN49" s="49">
        <v>21</v>
      </c>
      <c r="AO49" s="49">
        <f>H49*0</f>
        <v>0</v>
      </c>
      <c r="AP49" s="49">
        <f>H49*(1-0)</f>
        <v>0</v>
      </c>
      <c r="AQ49" s="45" t="s">
        <v>63</v>
      </c>
      <c r="AV49" s="49">
        <f t="shared" si="36"/>
        <v>0</v>
      </c>
      <c r="AW49" s="49">
        <f t="shared" si="37"/>
        <v>0</v>
      </c>
      <c r="AX49" s="49">
        <f t="shared" si="38"/>
        <v>0</v>
      </c>
      <c r="AY49" s="50" t="s">
        <v>327</v>
      </c>
      <c r="AZ49" s="50" t="s">
        <v>340</v>
      </c>
      <c r="BA49" s="46" t="s">
        <v>345</v>
      </c>
      <c r="BC49" s="49">
        <f t="shared" si="39"/>
        <v>0</v>
      </c>
      <c r="BD49" s="49">
        <f t="shared" si="40"/>
        <v>0</v>
      </c>
      <c r="BE49" s="49">
        <v>0</v>
      </c>
      <c r="BF49" s="49">
        <f>49</f>
        <v>49</v>
      </c>
      <c r="BH49" s="34">
        <f t="shared" si="41"/>
        <v>0</v>
      </c>
      <c r="BI49" s="34">
        <f t="shared" si="42"/>
        <v>0</v>
      </c>
      <c r="BJ49" s="34">
        <f t="shared" si="43"/>
        <v>0</v>
      </c>
    </row>
    <row r="50" spans="1:47" ht="12.75">
      <c r="A50" s="25"/>
      <c r="B50" s="32" t="s">
        <v>121</v>
      </c>
      <c r="C50" s="119" t="s">
        <v>246</v>
      </c>
      <c r="D50" s="120"/>
      <c r="E50" s="120"/>
      <c r="F50" s="25" t="s">
        <v>58</v>
      </c>
      <c r="G50" s="25" t="s">
        <v>58</v>
      </c>
      <c r="H50" s="25" t="s">
        <v>58</v>
      </c>
      <c r="I50" s="52">
        <f>SUM(I51:I55)</f>
        <v>0</v>
      </c>
      <c r="J50" s="52">
        <f>SUM(J51:J55)</f>
        <v>0</v>
      </c>
      <c r="K50" s="52">
        <f>SUM(K51:K55)</f>
        <v>0</v>
      </c>
      <c r="L50" s="46"/>
      <c r="AI50" s="46"/>
      <c r="AS50" s="52">
        <f>SUM(AJ51:AJ55)</f>
        <v>0</v>
      </c>
      <c r="AT50" s="52">
        <f>SUM(AK51:AK55)</f>
        <v>0</v>
      </c>
      <c r="AU50" s="52">
        <f>SUM(AL51:AL55)</f>
        <v>0</v>
      </c>
    </row>
    <row r="51" spans="1:62" ht="12.75">
      <c r="A51" s="24" t="s">
        <v>92</v>
      </c>
      <c r="B51" s="24" t="s">
        <v>165</v>
      </c>
      <c r="C51" s="115" t="s">
        <v>247</v>
      </c>
      <c r="D51" s="116"/>
      <c r="E51" s="116"/>
      <c r="F51" s="24" t="s">
        <v>298</v>
      </c>
      <c r="G51" s="34">
        <v>25.08</v>
      </c>
      <c r="H51" s="34">
        <v>0</v>
      </c>
      <c r="I51" s="34">
        <f>G51*AO51</f>
        <v>0</v>
      </c>
      <c r="J51" s="34">
        <f>G51*AP51</f>
        <v>0</v>
      </c>
      <c r="K51" s="34">
        <f>G51*H51</f>
        <v>0</v>
      </c>
      <c r="L51" s="45" t="s">
        <v>313</v>
      </c>
      <c r="Z51" s="49">
        <f>IF(AQ51="5",BJ51,0)</f>
        <v>0</v>
      </c>
      <c r="AB51" s="49">
        <f>IF(AQ51="1",BH51,0)</f>
        <v>0</v>
      </c>
      <c r="AC51" s="49">
        <f>IF(AQ51="1",BI51,0)</f>
        <v>0</v>
      </c>
      <c r="AD51" s="49">
        <f>IF(AQ51="7",BH51,0)</f>
        <v>0</v>
      </c>
      <c r="AE51" s="49">
        <f>IF(AQ51="7",BI51,0)</f>
        <v>0</v>
      </c>
      <c r="AF51" s="49">
        <f>IF(AQ51="2",BH51,0)</f>
        <v>0</v>
      </c>
      <c r="AG51" s="49">
        <f>IF(AQ51="2",BI51,0)</f>
        <v>0</v>
      </c>
      <c r="AH51" s="49">
        <f>IF(AQ51="0",BJ51,0)</f>
        <v>0</v>
      </c>
      <c r="AI51" s="46"/>
      <c r="AJ51" s="34">
        <f>IF(AN51=0,K51,0)</f>
        <v>0</v>
      </c>
      <c r="AK51" s="34">
        <f>IF(AN51=15,K51,0)</f>
        <v>0</v>
      </c>
      <c r="AL51" s="34">
        <f>IF(AN51=21,K51,0)</f>
        <v>0</v>
      </c>
      <c r="AN51" s="49">
        <v>21</v>
      </c>
      <c r="AO51" s="49">
        <f>H51*0.824977777777778</f>
        <v>0</v>
      </c>
      <c r="AP51" s="49">
        <f>H51*(1-0.824977777777778)</f>
        <v>0</v>
      </c>
      <c r="AQ51" s="45" t="s">
        <v>59</v>
      </c>
      <c r="AV51" s="49">
        <f>AW51+AX51</f>
        <v>0</v>
      </c>
      <c r="AW51" s="49">
        <f>G51*AO51</f>
        <v>0</v>
      </c>
      <c r="AX51" s="49">
        <f>G51*AP51</f>
        <v>0</v>
      </c>
      <c r="AY51" s="50" t="s">
        <v>328</v>
      </c>
      <c r="AZ51" s="50" t="s">
        <v>340</v>
      </c>
      <c r="BA51" s="46" t="s">
        <v>345</v>
      </c>
      <c r="BC51" s="49">
        <f>AW51+AX51</f>
        <v>0</v>
      </c>
      <c r="BD51" s="49">
        <f>H51/(100-BE51)*100</f>
        <v>0</v>
      </c>
      <c r="BE51" s="49">
        <v>0</v>
      </c>
      <c r="BF51" s="49">
        <f>51</f>
        <v>51</v>
      </c>
      <c r="BH51" s="34">
        <f>G51*AO51</f>
        <v>0</v>
      </c>
      <c r="BI51" s="34">
        <f>G51*AP51</f>
        <v>0</v>
      </c>
      <c r="BJ51" s="34">
        <f>G51*H51</f>
        <v>0</v>
      </c>
    </row>
    <row r="52" spans="1:62" ht="12.75">
      <c r="A52" s="24" t="s">
        <v>93</v>
      </c>
      <c r="B52" s="24" t="s">
        <v>166</v>
      </c>
      <c r="C52" s="115" t="s">
        <v>248</v>
      </c>
      <c r="D52" s="116"/>
      <c r="E52" s="116"/>
      <c r="F52" s="24" t="s">
        <v>297</v>
      </c>
      <c r="G52" s="34">
        <v>1.7556</v>
      </c>
      <c r="H52" s="34">
        <v>0</v>
      </c>
      <c r="I52" s="34">
        <f>G52*AO52</f>
        <v>0</v>
      </c>
      <c r="J52" s="34">
        <f>G52*AP52</f>
        <v>0</v>
      </c>
      <c r="K52" s="34">
        <f>G52*H52</f>
        <v>0</v>
      </c>
      <c r="L52" s="45" t="s">
        <v>313</v>
      </c>
      <c r="Z52" s="49">
        <f>IF(AQ52="5",BJ52,0)</f>
        <v>0</v>
      </c>
      <c r="AB52" s="49">
        <f>IF(AQ52="1",BH52,0)</f>
        <v>0</v>
      </c>
      <c r="AC52" s="49">
        <f>IF(AQ52="1",BI52,0)</f>
        <v>0</v>
      </c>
      <c r="AD52" s="49">
        <f>IF(AQ52="7",BH52,0)</f>
        <v>0</v>
      </c>
      <c r="AE52" s="49">
        <f>IF(AQ52="7",BI52,0)</f>
        <v>0</v>
      </c>
      <c r="AF52" s="49">
        <f>IF(AQ52="2",BH52,0)</f>
        <v>0</v>
      </c>
      <c r="AG52" s="49">
        <f>IF(AQ52="2",BI52,0)</f>
        <v>0</v>
      </c>
      <c r="AH52" s="49">
        <f>IF(AQ52="0",BJ52,0)</f>
        <v>0</v>
      </c>
      <c r="AI52" s="46"/>
      <c r="AJ52" s="34">
        <f>IF(AN52=0,K52,0)</f>
        <v>0</v>
      </c>
      <c r="AK52" s="34">
        <f>IF(AN52=15,K52,0)</f>
        <v>0</v>
      </c>
      <c r="AL52" s="34">
        <f>IF(AN52=21,K52,0)</f>
        <v>0</v>
      </c>
      <c r="AN52" s="49">
        <v>21</v>
      </c>
      <c r="AO52" s="49">
        <f>H52*0.646586486486487</f>
        <v>0</v>
      </c>
      <c r="AP52" s="49">
        <f>H52*(1-0.646586486486487)</f>
        <v>0</v>
      </c>
      <c r="AQ52" s="45" t="s">
        <v>59</v>
      </c>
      <c r="AV52" s="49">
        <f>AW52+AX52</f>
        <v>0</v>
      </c>
      <c r="AW52" s="49">
        <f>G52*AO52</f>
        <v>0</v>
      </c>
      <c r="AX52" s="49">
        <f>G52*AP52</f>
        <v>0</v>
      </c>
      <c r="AY52" s="50" t="s">
        <v>328</v>
      </c>
      <c r="AZ52" s="50" t="s">
        <v>340</v>
      </c>
      <c r="BA52" s="46" t="s">
        <v>345</v>
      </c>
      <c r="BC52" s="49">
        <f>AW52+AX52</f>
        <v>0</v>
      </c>
      <c r="BD52" s="49">
        <f>H52/(100-BE52)*100</f>
        <v>0</v>
      </c>
      <c r="BE52" s="49">
        <v>0</v>
      </c>
      <c r="BF52" s="49">
        <f>52</f>
        <v>52</v>
      </c>
      <c r="BH52" s="34">
        <f>G52*AO52</f>
        <v>0</v>
      </c>
      <c r="BI52" s="34">
        <f>G52*AP52</f>
        <v>0</v>
      </c>
      <c r="BJ52" s="34">
        <f>G52*H52</f>
        <v>0</v>
      </c>
    </row>
    <row r="53" spans="1:62" ht="12.75">
      <c r="A53" s="24" t="s">
        <v>94</v>
      </c>
      <c r="B53" s="24" t="s">
        <v>167</v>
      </c>
      <c r="C53" s="115" t="s">
        <v>249</v>
      </c>
      <c r="D53" s="116"/>
      <c r="E53" s="116"/>
      <c r="F53" s="24" t="s">
        <v>297</v>
      </c>
      <c r="G53" s="34">
        <v>2.508</v>
      </c>
      <c r="H53" s="34">
        <v>0</v>
      </c>
      <c r="I53" s="34">
        <f>G53*AO53</f>
        <v>0</v>
      </c>
      <c r="J53" s="34">
        <f>G53*AP53</f>
        <v>0</v>
      </c>
      <c r="K53" s="34">
        <f>G53*H53</f>
        <v>0</v>
      </c>
      <c r="L53" s="45" t="s">
        <v>313</v>
      </c>
      <c r="Z53" s="49">
        <f>IF(AQ53="5",BJ53,0)</f>
        <v>0</v>
      </c>
      <c r="AB53" s="49">
        <f>IF(AQ53="1",BH53,0)</f>
        <v>0</v>
      </c>
      <c r="AC53" s="49">
        <f>IF(AQ53="1",BI53,0)</f>
        <v>0</v>
      </c>
      <c r="AD53" s="49">
        <f>IF(AQ53="7",BH53,0)</f>
        <v>0</v>
      </c>
      <c r="AE53" s="49">
        <f>IF(AQ53="7",BI53,0)</f>
        <v>0</v>
      </c>
      <c r="AF53" s="49">
        <f>IF(AQ53="2",BH53,0)</f>
        <v>0</v>
      </c>
      <c r="AG53" s="49">
        <f>IF(AQ53="2",BI53,0)</f>
        <v>0</v>
      </c>
      <c r="AH53" s="49">
        <f>IF(AQ53="0",BJ53,0)</f>
        <v>0</v>
      </c>
      <c r="AI53" s="46"/>
      <c r="AJ53" s="34">
        <f>IF(AN53=0,K53,0)</f>
        <v>0</v>
      </c>
      <c r="AK53" s="34">
        <f>IF(AN53=15,K53,0)</f>
        <v>0</v>
      </c>
      <c r="AL53" s="34">
        <f>IF(AN53=21,K53,0)</f>
        <v>0</v>
      </c>
      <c r="AN53" s="49">
        <v>21</v>
      </c>
      <c r="AO53" s="49">
        <f>H53*0.698712842712843</f>
        <v>0</v>
      </c>
      <c r="AP53" s="49">
        <f>H53*(1-0.698712842712843)</f>
        <v>0</v>
      </c>
      <c r="AQ53" s="45" t="s">
        <v>59</v>
      </c>
      <c r="AV53" s="49">
        <f>AW53+AX53</f>
        <v>0</v>
      </c>
      <c r="AW53" s="49">
        <f>G53*AO53</f>
        <v>0</v>
      </c>
      <c r="AX53" s="49">
        <f>G53*AP53</f>
        <v>0</v>
      </c>
      <c r="AY53" s="50" t="s">
        <v>328</v>
      </c>
      <c r="AZ53" s="50" t="s">
        <v>340</v>
      </c>
      <c r="BA53" s="46" t="s">
        <v>345</v>
      </c>
      <c r="BC53" s="49">
        <f>AW53+AX53</f>
        <v>0</v>
      </c>
      <c r="BD53" s="49">
        <f>H53/(100-BE53)*100</f>
        <v>0</v>
      </c>
      <c r="BE53" s="49">
        <v>0</v>
      </c>
      <c r="BF53" s="49">
        <f>53</f>
        <v>53</v>
      </c>
      <c r="BH53" s="34">
        <f>G53*AO53</f>
        <v>0</v>
      </c>
      <c r="BI53" s="34">
        <f>G53*AP53</f>
        <v>0</v>
      </c>
      <c r="BJ53" s="34">
        <f>G53*H53</f>
        <v>0</v>
      </c>
    </row>
    <row r="54" spans="1:62" ht="12.75">
      <c r="A54" s="24" t="s">
        <v>95</v>
      </c>
      <c r="B54" s="24" t="s">
        <v>149</v>
      </c>
      <c r="C54" s="115" t="s">
        <v>225</v>
      </c>
      <c r="D54" s="116"/>
      <c r="E54" s="116"/>
      <c r="F54" s="24" t="s">
        <v>299</v>
      </c>
      <c r="G54" s="34">
        <v>20.00356</v>
      </c>
      <c r="H54" s="34">
        <v>0</v>
      </c>
      <c r="I54" s="34">
        <f>G54*AO54</f>
        <v>0</v>
      </c>
      <c r="J54" s="34">
        <f>G54*AP54</f>
        <v>0</v>
      </c>
      <c r="K54" s="34">
        <f>G54*H54</f>
        <v>0</v>
      </c>
      <c r="L54" s="45" t="s">
        <v>313</v>
      </c>
      <c r="Z54" s="49">
        <f>IF(AQ54="5",BJ54,0)</f>
        <v>0</v>
      </c>
      <c r="AB54" s="49">
        <f>IF(AQ54="1",BH54,0)</f>
        <v>0</v>
      </c>
      <c r="AC54" s="49">
        <f>IF(AQ54="1",BI54,0)</f>
        <v>0</v>
      </c>
      <c r="AD54" s="49">
        <f>IF(AQ54="7",BH54,0)</f>
        <v>0</v>
      </c>
      <c r="AE54" s="49">
        <f>IF(AQ54="7",BI54,0)</f>
        <v>0</v>
      </c>
      <c r="AF54" s="49">
        <f>IF(AQ54="2",BH54,0)</f>
        <v>0</v>
      </c>
      <c r="AG54" s="49">
        <f>IF(AQ54="2",BI54,0)</f>
        <v>0</v>
      </c>
      <c r="AH54" s="49">
        <f>IF(AQ54="0",BJ54,0)</f>
        <v>0</v>
      </c>
      <c r="AI54" s="46"/>
      <c r="AJ54" s="34">
        <f>IF(AN54=0,K54,0)</f>
        <v>0</v>
      </c>
      <c r="AK54" s="34">
        <f>IF(AN54=15,K54,0)</f>
        <v>0</v>
      </c>
      <c r="AL54" s="34">
        <f>IF(AN54=21,K54,0)</f>
        <v>0</v>
      </c>
      <c r="AN54" s="49">
        <v>21</v>
      </c>
      <c r="AO54" s="49">
        <f>H54*0</f>
        <v>0</v>
      </c>
      <c r="AP54" s="49">
        <f>H54*(1-0)</f>
        <v>0</v>
      </c>
      <c r="AQ54" s="45" t="s">
        <v>63</v>
      </c>
      <c r="AV54" s="49">
        <f>AW54+AX54</f>
        <v>0</v>
      </c>
      <c r="AW54" s="49">
        <f>G54*AO54</f>
        <v>0</v>
      </c>
      <c r="AX54" s="49">
        <f>G54*AP54</f>
        <v>0</v>
      </c>
      <c r="AY54" s="50" t="s">
        <v>328</v>
      </c>
      <c r="AZ54" s="50" t="s">
        <v>340</v>
      </c>
      <c r="BA54" s="46" t="s">
        <v>345</v>
      </c>
      <c r="BC54" s="49">
        <f>AW54+AX54</f>
        <v>0</v>
      </c>
      <c r="BD54" s="49">
        <f>H54/(100-BE54)*100</f>
        <v>0</v>
      </c>
      <c r="BE54" s="49">
        <v>0</v>
      </c>
      <c r="BF54" s="49">
        <f>54</f>
        <v>54</v>
      </c>
      <c r="BH54" s="34">
        <f>G54*AO54</f>
        <v>0</v>
      </c>
      <c r="BI54" s="34">
        <f>G54*AP54</f>
        <v>0</v>
      </c>
      <c r="BJ54" s="34">
        <f>G54*H54</f>
        <v>0</v>
      </c>
    </row>
    <row r="55" spans="1:62" ht="12.75">
      <c r="A55" s="24" t="s">
        <v>96</v>
      </c>
      <c r="B55" s="24" t="s">
        <v>150</v>
      </c>
      <c r="C55" s="115" t="s">
        <v>226</v>
      </c>
      <c r="D55" s="116"/>
      <c r="E55" s="116"/>
      <c r="F55" s="24" t="s">
        <v>299</v>
      </c>
      <c r="G55" s="34">
        <v>20.00356</v>
      </c>
      <c r="H55" s="34">
        <v>0</v>
      </c>
      <c r="I55" s="34">
        <f>G55*AO55</f>
        <v>0</v>
      </c>
      <c r="J55" s="34">
        <f>G55*AP55</f>
        <v>0</v>
      </c>
      <c r="K55" s="34">
        <f>G55*H55</f>
        <v>0</v>
      </c>
      <c r="L55" s="45" t="s">
        <v>313</v>
      </c>
      <c r="Z55" s="49">
        <f>IF(AQ55="5",BJ55,0)</f>
        <v>0</v>
      </c>
      <c r="AB55" s="49">
        <f>IF(AQ55="1",BH55,0)</f>
        <v>0</v>
      </c>
      <c r="AC55" s="49">
        <f>IF(AQ55="1",BI55,0)</f>
        <v>0</v>
      </c>
      <c r="AD55" s="49">
        <f>IF(AQ55="7",BH55,0)</f>
        <v>0</v>
      </c>
      <c r="AE55" s="49">
        <f>IF(AQ55="7",BI55,0)</f>
        <v>0</v>
      </c>
      <c r="AF55" s="49">
        <f>IF(AQ55="2",BH55,0)</f>
        <v>0</v>
      </c>
      <c r="AG55" s="49">
        <f>IF(AQ55="2",BI55,0)</f>
        <v>0</v>
      </c>
      <c r="AH55" s="49">
        <f>IF(AQ55="0",BJ55,0)</f>
        <v>0</v>
      </c>
      <c r="AI55" s="46"/>
      <c r="AJ55" s="34">
        <f>IF(AN55=0,K55,0)</f>
        <v>0</v>
      </c>
      <c r="AK55" s="34">
        <f>IF(AN55=15,K55,0)</f>
        <v>0</v>
      </c>
      <c r="AL55" s="34">
        <f>IF(AN55=21,K55,0)</f>
        <v>0</v>
      </c>
      <c r="AN55" s="49">
        <v>21</v>
      </c>
      <c r="AO55" s="49">
        <f>H55*0</f>
        <v>0</v>
      </c>
      <c r="AP55" s="49">
        <f>H55*(1-0)</f>
        <v>0</v>
      </c>
      <c r="AQ55" s="45" t="s">
        <v>63</v>
      </c>
      <c r="AV55" s="49">
        <f>AW55+AX55</f>
        <v>0</v>
      </c>
      <c r="AW55" s="49">
        <f>G55*AO55</f>
        <v>0</v>
      </c>
      <c r="AX55" s="49">
        <f>G55*AP55</f>
        <v>0</v>
      </c>
      <c r="AY55" s="50" t="s">
        <v>328</v>
      </c>
      <c r="AZ55" s="50" t="s">
        <v>340</v>
      </c>
      <c r="BA55" s="46" t="s">
        <v>345</v>
      </c>
      <c r="BC55" s="49">
        <f>AW55+AX55</f>
        <v>0</v>
      </c>
      <c r="BD55" s="49">
        <f>H55/(100-BE55)*100</f>
        <v>0</v>
      </c>
      <c r="BE55" s="49">
        <v>0</v>
      </c>
      <c r="BF55" s="49">
        <f>55</f>
        <v>55</v>
      </c>
      <c r="BH55" s="34">
        <f>G55*AO55</f>
        <v>0</v>
      </c>
      <c r="BI55" s="34">
        <f>G55*AP55</f>
        <v>0</v>
      </c>
      <c r="BJ55" s="34">
        <f>G55*H55</f>
        <v>0</v>
      </c>
    </row>
    <row r="56" spans="1:47" ht="12.75">
      <c r="A56" s="25"/>
      <c r="B56" s="32" t="s">
        <v>168</v>
      </c>
      <c r="C56" s="119" t="s">
        <v>250</v>
      </c>
      <c r="D56" s="120"/>
      <c r="E56" s="120"/>
      <c r="F56" s="25" t="s">
        <v>58</v>
      </c>
      <c r="G56" s="25" t="s">
        <v>58</v>
      </c>
      <c r="H56" s="25" t="s">
        <v>58</v>
      </c>
      <c r="I56" s="52">
        <f>SUM(I57:I62)</f>
        <v>0</v>
      </c>
      <c r="J56" s="52">
        <f>SUM(J57:J62)</f>
        <v>0</v>
      </c>
      <c r="K56" s="52">
        <f>SUM(K57:K62)</f>
        <v>0</v>
      </c>
      <c r="L56" s="46"/>
      <c r="AI56" s="46"/>
      <c r="AS56" s="52">
        <f>SUM(AJ57:AJ62)</f>
        <v>0</v>
      </c>
      <c r="AT56" s="52">
        <f>SUM(AK57:AK62)</f>
        <v>0</v>
      </c>
      <c r="AU56" s="52">
        <f>SUM(AL57:AL62)</f>
        <v>0</v>
      </c>
    </row>
    <row r="57" spans="1:62" ht="12.75">
      <c r="A57" s="24" t="s">
        <v>97</v>
      </c>
      <c r="B57" s="24" t="s">
        <v>169</v>
      </c>
      <c r="C57" s="115" t="s">
        <v>251</v>
      </c>
      <c r="D57" s="116"/>
      <c r="E57" s="116"/>
      <c r="F57" s="24" t="s">
        <v>300</v>
      </c>
      <c r="G57" s="34">
        <v>25.08</v>
      </c>
      <c r="H57" s="34">
        <v>0</v>
      </c>
      <c r="I57" s="34">
        <f aca="true" t="shared" si="44" ref="I57:I62">G57*AO57</f>
        <v>0</v>
      </c>
      <c r="J57" s="34">
        <f aca="true" t="shared" si="45" ref="J57:J62">G57*AP57</f>
        <v>0</v>
      </c>
      <c r="K57" s="34">
        <f aca="true" t="shared" si="46" ref="K57:K62">G57*H57</f>
        <v>0</v>
      </c>
      <c r="L57" s="45" t="s">
        <v>313</v>
      </c>
      <c r="Z57" s="49">
        <f aca="true" t="shared" si="47" ref="Z57:Z62">IF(AQ57="5",BJ57,0)</f>
        <v>0</v>
      </c>
      <c r="AB57" s="49">
        <f aca="true" t="shared" si="48" ref="AB57:AB62">IF(AQ57="1",BH57,0)</f>
        <v>0</v>
      </c>
      <c r="AC57" s="49">
        <f aca="true" t="shared" si="49" ref="AC57:AC62">IF(AQ57="1",BI57,0)</f>
        <v>0</v>
      </c>
      <c r="AD57" s="49">
        <f aca="true" t="shared" si="50" ref="AD57:AD62">IF(AQ57="7",BH57,0)</f>
        <v>0</v>
      </c>
      <c r="AE57" s="49">
        <f aca="true" t="shared" si="51" ref="AE57:AE62">IF(AQ57="7",BI57,0)</f>
        <v>0</v>
      </c>
      <c r="AF57" s="49">
        <f aca="true" t="shared" si="52" ref="AF57:AF62">IF(AQ57="2",BH57,0)</f>
        <v>0</v>
      </c>
      <c r="AG57" s="49">
        <f aca="true" t="shared" si="53" ref="AG57:AG62">IF(AQ57="2",BI57,0)</f>
        <v>0</v>
      </c>
      <c r="AH57" s="49">
        <f aca="true" t="shared" si="54" ref="AH57:AH62">IF(AQ57="0",BJ57,0)</f>
        <v>0</v>
      </c>
      <c r="AI57" s="46"/>
      <c r="AJ57" s="34">
        <f aca="true" t="shared" si="55" ref="AJ57:AJ62">IF(AN57=0,K57,0)</f>
        <v>0</v>
      </c>
      <c r="AK57" s="34">
        <f aca="true" t="shared" si="56" ref="AK57:AK62">IF(AN57=15,K57,0)</f>
        <v>0</v>
      </c>
      <c r="AL57" s="34">
        <f aca="true" t="shared" si="57" ref="AL57:AL62">IF(AN57=21,K57,0)</f>
        <v>0</v>
      </c>
      <c r="AN57" s="49">
        <v>21</v>
      </c>
      <c r="AO57" s="49">
        <f>H57*0.0790254237288135</f>
        <v>0</v>
      </c>
      <c r="AP57" s="49">
        <f>H57*(1-0.0790254237288135)</f>
        <v>0</v>
      </c>
      <c r="AQ57" s="45" t="s">
        <v>65</v>
      </c>
      <c r="AV57" s="49">
        <f aca="true" t="shared" si="58" ref="AV57:AV62">AW57+AX57</f>
        <v>0</v>
      </c>
      <c r="AW57" s="49">
        <f aca="true" t="shared" si="59" ref="AW57:AW62">G57*AO57</f>
        <v>0</v>
      </c>
      <c r="AX57" s="49">
        <f aca="true" t="shared" si="60" ref="AX57:AX62">G57*AP57</f>
        <v>0</v>
      </c>
      <c r="AY57" s="50" t="s">
        <v>329</v>
      </c>
      <c r="AZ57" s="50" t="s">
        <v>341</v>
      </c>
      <c r="BA57" s="46" t="s">
        <v>345</v>
      </c>
      <c r="BC57" s="49">
        <f aca="true" t="shared" si="61" ref="BC57:BC62">AW57+AX57</f>
        <v>0</v>
      </c>
      <c r="BD57" s="49">
        <f aca="true" t="shared" si="62" ref="BD57:BD62">H57/(100-BE57)*100</f>
        <v>0</v>
      </c>
      <c r="BE57" s="49">
        <v>0</v>
      </c>
      <c r="BF57" s="49">
        <f>57</f>
        <v>57</v>
      </c>
      <c r="BH57" s="34">
        <f aca="true" t="shared" si="63" ref="BH57:BH62">G57*AO57</f>
        <v>0</v>
      </c>
      <c r="BI57" s="34">
        <f aca="true" t="shared" si="64" ref="BI57:BI62">G57*AP57</f>
        <v>0</v>
      </c>
      <c r="BJ57" s="34">
        <f aca="true" t="shared" si="65" ref="BJ57:BJ62">G57*H57</f>
        <v>0</v>
      </c>
    </row>
    <row r="58" spans="1:62" ht="12.75">
      <c r="A58" s="24" t="s">
        <v>98</v>
      </c>
      <c r="B58" s="24" t="s">
        <v>170</v>
      </c>
      <c r="C58" s="115" t="s">
        <v>252</v>
      </c>
      <c r="D58" s="116"/>
      <c r="E58" s="116"/>
      <c r="F58" s="24" t="s">
        <v>298</v>
      </c>
      <c r="G58" s="34">
        <v>29.64</v>
      </c>
      <c r="H58" s="34">
        <v>0</v>
      </c>
      <c r="I58" s="34">
        <f t="shared" si="44"/>
        <v>0</v>
      </c>
      <c r="J58" s="34">
        <f t="shared" si="45"/>
        <v>0</v>
      </c>
      <c r="K58" s="34">
        <f t="shared" si="46"/>
        <v>0</v>
      </c>
      <c r="L58" s="45" t="s">
        <v>313</v>
      </c>
      <c r="Z58" s="49">
        <f t="shared" si="47"/>
        <v>0</v>
      </c>
      <c r="AB58" s="49">
        <f t="shared" si="48"/>
        <v>0</v>
      </c>
      <c r="AC58" s="49">
        <f t="shared" si="49"/>
        <v>0</v>
      </c>
      <c r="AD58" s="49">
        <f t="shared" si="50"/>
        <v>0</v>
      </c>
      <c r="AE58" s="49">
        <f t="shared" si="51"/>
        <v>0</v>
      </c>
      <c r="AF58" s="49">
        <f t="shared" si="52"/>
        <v>0</v>
      </c>
      <c r="AG58" s="49">
        <f t="shared" si="53"/>
        <v>0</v>
      </c>
      <c r="AH58" s="49">
        <f t="shared" si="54"/>
        <v>0</v>
      </c>
      <c r="AI58" s="46"/>
      <c r="AJ58" s="34">
        <f t="shared" si="55"/>
        <v>0</v>
      </c>
      <c r="AK58" s="34">
        <f t="shared" si="56"/>
        <v>0</v>
      </c>
      <c r="AL58" s="34">
        <f t="shared" si="57"/>
        <v>0</v>
      </c>
      <c r="AN58" s="49">
        <v>21</v>
      </c>
      <c r="AO58" s="49">
        <f>H58*0.530749906542056</f>
        <v>0</v>
      </c>
      <c r="AP58" s="49">
        <f>H58*(1-0.530749906542056)</f>
        <v>0</v>
      </c>
      <c r="AQ58" s="45" t="s">
        <v>65</v>
      </c>
      <c r="AV58" s="49">
        <f t="shared" si="58"/>
        <v>0</v>
      </c>
      <c r="AW58" s="49">
        <f t="shared" si="59"/>
        <v>0</v>
      </c>
      <c r="AX58" s="49">
        <f t="shared" si="60"/>
        <v>0</v>
      </c>
      <c r="AY58" s="50" t="s">
        <v>329</v>
      </c>
      <c r="AZ58" s="50" t="s">
        <v>341</v>
      </c>
      <c r="BA58" s="46" t="s">
        <v>345</v>
      </c>
      <c r="BC58" s="49">
        <f t="shared" si="61"/>
        <v>0</v>
      </c>
      <c r="BD58" s="49">
        <f t="shared" si="62"/>
        <v>0</v>
      </c>
      <c r="BE58" s="49">
        <v>0</v>
      </c>
      <c r="BF58" s="49">
        <f>58</f>
        <v>58</v>
      </c>
      <c r="BH58" s="34">
        <f t="shared" si="63"/>
        <v>0</v>
      </c>
      <c r="BI58" s="34">
        <f t="shared" si="64"/>
        <v>0</v>
      </c>
      <c r="BJ58" s="34">
        <f t="shared" si="65"/>
        <v>0</v>
      </c>
    </row>
    <row r="59" spans="1:62" ht="12.75">
      <c r="A59" s="24" t="s">
        <v>99</v>
      </c>
      <c r="B59" s="24" t="s">
        <v>171</v>
      </c>
      <c r="C59" s="115" t="s">
        <v>253</v>
      </c>
      <c r="D59" s="116"/>
      <c r="E59" s="116"/>
      <c r="F59" s="24" t="s">
        <v>298</v>
      </c>
      <c r="G59" s="34">
        <v>29.64</v>
      </c>
      <c r="H59" s="34">
        <v>0</v>
      </c>
      <c r="I59" s="34">
        <f t="shared" si="44"/>
        <v>0</v>
      </c>
      <c r="J59" s="34">
        <f t="shared" si="45"/>
        <v>0</v>
      </c>
      <c r="K59" s="34">
        <f t="shared" si="46"/>
        <v>0</v>
      </c>
      <c r="L59" s="45" t="s">
        <v>313</v>
      </c>
      <c r="Z59" s="49">
        <f t="shared" si="47"/>
        <v>0</v>
      </c>
      <c r="AB59" s="49">
        <f t="shared" si="48"/>
        <v>0</v>
      </c>
      <c r="AC59" s="49">
        <f t="shared" si="49"/>
        <v>0</v>
      </c>
      <c r="AD59" s="49">
        <f t="shared" si="50"/>
        <v>0</v>
      </c>
      <c r="AE59" s="49">
        <f t="shared" si="51"/>
        <v>0</v>
      </c>
      <c r="AF59" s="49">
        <f t="shared" si="52"/>
        <v>0</v>
      </c>
      <c r="AG59" s="49">
        <f t="shared" si="53"/>
        <v>0</v>
      </c>
      <c r="AH59" s="49">
        <f t="shared" si="54"/>
        <v>0</v>
      </c>
      <c r="AI59" s="46"/>
      <c r="AJ59" s="34">
        <f t="shared" si="55"/>
        <v>0</v>
      </c>
      <c r="AK59" s="34">
        <f t="shared" si="56"/>
        <v>0</v>
      </c>
      <c r="AL59" s="34">
        <f t="shared" si="57"/>
        <v>0</v>
      </c>
      <c r="AN59" s="49">
        <v>21</v>
      </c>
      <c r="AO59" s="49">
        <f>H59*0.067027027027027</f>
        <v>0</v>
      </c>
      <c r="AP59" s="49">
        <f>H59*(1-0.067027027027027)</f>
        <v>0</v>
      </c>
      <c r="AQ59" s="45" t="s">
        <v>65</v>
      </c>
      <c r="AV59" s="49">
        <f t="shared" si="58"/>
        <v>0</v>
      </c>
      <c r="AW59" s="49">
        <f t="shared" si="59"/>
        <v>0</v>
      </c>
      <c r="AX59" s="49">
        <f t="shared" si="60"/>
        <v>0</v>
      </c>
      <c r="AY59" s="50" t="s">
        <v>329</v>
      </c>
      <c r="AZ59" s="50" t="s">
        <v>341</v>
      </c>
      <c r="BA59" s="46" t="s">
        <v>345</v>
      </c>
      <c r="BC59" s="49">
        <f t="shared" si="61"/>
        <v>0</v>
      </c>
      <c r="BD59" s="49">
        <f t="shared" si="62"/>
        <v>0</v>
      </c>
      <c r="BE59" s="49">
        <v>0</v>
      </c>
      <c r="BF59" s="49">
        <f>59</f>
        <v>59</v>
      </c>
      <c r="BH59" s="34">
        <f t="shared" si="63"/>
        <v>0</v>
      </c>
      <c r="BI59" s="34">
        <f t="shared" si="64"/>
        <v>0</v>
      </c>
      <c r="BJ59" s="34">
        <f t="shared" si="65"/>
        <v>0</v>
      </c>
    </row>
    <row r="60" spans="1:62" ht="12.75">
      <c r="A60" s="26" t="s">
        <v>100</v>
      </c>
      <c r="B60" s="26" t="s">
        <v>172</v>
      </c>
      <c r="C60" s="121" t="s">
        <v>254</v>
      </c>
      <c r="D60" s="122"/>
      <c r="E60" s="122"/>
      <c r="F60" s="26" t="s">
        <v>298</v>
      </c>
      <c r="G60" s="35">
        <v>34.086</v>
      </c>
      <c r="H60" s="35">
        <v>0</v>
      </c>
      <c r="I60" s="35">
        <f t="shared" si="44"/>
        <v>0</v>
      </c>
      <c r="J60" s="35">
        <f t="shared" si="45"/>
        <v>0</v>
      </c>
      <c r="K60" s="35">
        <f t="shared" si="46"/>
        <v>0</v>
      </c>
      <c r="L60" s="47" t="s">
        <v>313</v>
      </c>
      <c r="Z60" s="49">
        <f t="shared" si="47"/>
        <v>0</v>
      </c>
      <c r="AB60" s="49">
        <f t="shared" si="48"/>
        <v>0</v>
      </c>
      <c r="AC60" s="49">
        <f t="shared" si="49"/>
        <v>0</v>
      </c>
      <c r="AD60" s="49">
        <f t="shared" si="50"/>
        <v>0</v>
      </c>
      <c r="AE60" s="49">
        <f t="shared" si="51"/>
        <v>0</v>
      </c>
      <c r="AF60" s="49">
        <f t="shared" si="52"/>
        <v>0</v>
      </c>
      <c r="AG60" s="49">
        <f t="shared" si="53"/>
        <v>0</v>
      </c>
      <c r="AH60" s="49">
        <f t="shared" si="54"/>
        <v>0</v>
      </c>
      <c r="AI60" s="46"/>
      <c r="AJ60" s="35">
        <f t="shared" si="55"/>
        <v>0</v>
      </c>
      <c r="AK60" s="35">
        <f t="shared" si="56"/>
        <v>0</v>
      </c>
      <c r="AL60" s="35">
        <f t="shared" si="57"/>
        <v>0</v>
      </c>
      <c r="AN60" s="49">
        <v>21</v>
      </c>
      <c r="AO60" s="49">
        <f>H60*1</f>
        <v>0</v>
      </c>
      <c r="AP60" s="49">
        <f>H60*(1-1)</f>
        <v>0</v>
      </c>
      <c r="AQ60" s="47" t="s">
        <v>65</v>
      </c>
      <c r="AV60" s="49">
        <f t="shared" si="58"/>
        <v>0</v>
      </c>
      <c r="AW60" s="49">
        <f t="shared" si="59"/>
        <v>0</v>
      </c>
      <c r="AX60" s="49">
        <f t="shared" si="60"/>
        <v>0</v>
      </c>
      <c r="AY60" s="50" t="s">
        <v>329</v>
      </c>
      <c r="AZ60" s="50" t="s">
        <v>341</v>
      </c>
      <c r="BA60" s="46" t="s">
        <v>345</v>
      </c>
      <c r="BC60" s="49">
        <f t="shared" si="61"/>
        <v>0</v>
      </c>
      <c r="BD60" s="49">
        <f t="shared" si="62"/>
        <v>0</v>
      </c>
      <c r="BE60" s="49">
        <v>0</v>
      </c>
      <c r="BF60" s="49">
        <f>60</f>
        <v>60</v>
      </c>
      <c r="BH60" s="35">
        <f t="shared" si="63"/>
        <v>0</v>
      </c>
      <c r="BI60" s="35">
        <f t="shared" si="64"/>
        <v>0</v>
      </c>
      <c r="BJ60" s="35">
        <f t="shared" si="65"/>
        <v>0</v>
      </c>
    </row>
    <row r="61" spans="1:62" ht="12.75">
      <c r="A61" s="24" t="s">
        <v>101</v>
      </c>
      <c r="B61" s="24" t="s">
        <v>173</v>
      </c>
      <c r="C61" s="115" t="s">
        <v>255</v>
      </c>
      <c r="D61" s="116"/>
      <c r="E61" s="116"/>
      <c r="F61" s="24" t="s">
        <v>299</v>
      </c>
      <c r="G61" s="34">
        <v>0.56331</v>
      </c>
      <c r="H61" s="34">
        <v>0</v>
      </c>
      <c r="I61" s="34">
        <f t="shared" si="44"/>
        <v>0</v>
      </c>
      <c r="J61" s="34">
        <f t="shared" si="45"/>
        <v>0</v>
      </c>
      <c r="K61" s="34">
        <f t="shared" si="46"/>
        <v>0</v>
      </c>
      <c r="L61" s="45" t="s">
        <v>313</v>
      </c>
      <c r="Z61" s="49">
        <f t="shared" si="47"/>
        <v>0</v>
      </c>
      <c r="AB61" s="49">
        <f t="shared" si="48"/>
        <v>0</v>
      </c>
      <c r="AC61" s="49">
        <f t="shared" si="49"/>
        <v>0</v>
      </c>
      <c r="AD61" s="49">
        <f t="shared" si="50"/>
        <v>0</v>
      </c>
      <c r="AE61" s="49">
        <f t="shared" si="51"/>
        <v>0</v>
      </c>
      <c r="AF61" s="49">
        <f t="shared" si="52"/>
        <v>0</v>
      </c>
      <c r="AG61" s="49">
        <f t="shared" si="53"/>
        <v>0</v>
      </c>
      <c r="AH61" s="49">
        <f t="shared" si="54"/>
        <v>0</v>
      </c>
      <c r="AI61" s="46"/>
      <c r="AJ61" s="34">
        <f t="shared" si="55"/>
        <v>0</v>
      </c>
      <c r="AK61" s="34">
        <f t="shared" si="56"/>
        <v>0</v>
      </c>
      <c r="AL61" s="34">
        <f t="shared" si="57"/>
        <v>0</v>
      </c>
      <c r="AN61" s="49">
        <v>21</v>
      </c>
      <c r="AO61" s="49">
        <f>H61*0</f>
        <v>0</v>
      </c>
      <c r="AP61" s="49">
        <f>H61*(1-0)</f>
        <v>0</v>
      </c>
      <c r="AQ61" s="45" t="s">
        <v>63</v>
      </c>
      <c r="AV61" s="49">
        <f t="shared" si="58"/>
        <v>0</v>
      </c>
      <c r="AW61" s="49">
        <f t="shared" si="59"/>
        <v>0</v>
      </c>
      <c r="AX61" s="49">
        <f t="shared" si="60"/>
        <v>0</v>
      </c>
      <c r="AY61" s="50" t="s">
        <v>329</v>
      </c>
      <c r="AZ61" s="50" t="s">
        <v>341</v>
      </c>
      <c r="BA61" s="46" t="s">
        <v>345</v>
      </c>
      <c r="BC61" s="49">
        <f t="shared" si="61"/>
        <v>0</v>
      </c>
      <c r="BD61" s="49">
        <f t="shared" si="62"/>
        <v>0</v>
      </c>
      <c r="BE61" s="49">
        <v>0</v>
      </c>
      <c r="BF61" s="49">
        <f>61</f>
        <v>61</v>
      </c>
      <c r="BH61" s="34">
        <f t="shared" si="63"/>
        <v>0</v>
      </c>
      <c r="BI61" s="34">
        <f t="shared" si="64"/>
        <v>0</v>
      </c>
      <c r="BJ61" s="34">
        <f t="shared" si="65"/>
        <v>0</v>
      </c>
    </row>
    <row r="62" spans="1:62" ht="12.75">
      <c r="A62" s="24" t="s">
        <v>102</v>
      </c>
      <c r="B62" s="24" t="s">
        <v>150</v>
      </c>
      <c r="C62" s="115" t="s">
        <v>226</v>
      </c>
      <c r="D62" s="116"/>
      <c r="E62" s="116"/>
      <c r="F62" s="24" t="s">
        <v>299</v>
      </c>
      <c r="G62" s="34">
        <v>0.56331</v>
      </c>
      <c r="H62" s="34">
        <v>0</v>
      </c>
      <c r="I62" s="34">
        <f t="shared" si="44"/>
        <v>0</v>
      </c>
      <c r="J62" s="34">
        <f t="shared" si="45"/>
        <v>0</v>
      </c>
      <c r="K62" s="34">
        <f t="shared" si="46"/>
        <v>0</v>
      </c>
      <c r="L62" s="45" t="s">
        <v>313</v>
      </c>
      <c r="Z62" s="49">
        <f t="shared" si="47"/>
        <v>0</v>
      </c>
      <c r="AB62" s="49">
        <f t="shared" si="48"/>
        <v>0</v>
      </c>
      <c r="AC62" s="49">
        <f t="shared" si="49"/>
        <v>0</v>
      </c>
      <c r="AD62" s="49">
        <f t="shared" si="50"/>
        <v>0</v>
      </c>
      <c r="AE62" s="49">
        <f t="shared" si="51"/>
        <v>0</v>
      </c>
      <c r="AF62" s="49">
        <f t="shared" si="52"/>
        <v>0</v>
      </c>
      <c r="AG62" s="49">
        <f t="shared" si="53"/>
        <v>0</v>
      </c>
      <c r="AH62" s="49">
        <f t="shared" si="54"/>
        <v>0</v>
      </c>
      <c r="AI62" s="46"/>
      <c r="AJ62" s="34">
        <f t="shared" si="55"/>
        <v>0</v>
      </c>
      <c r="AK62" s="34">
        <f t="shared" si="56"/>
        <v>0</v>
      </c>
      <c r="AL62" s="34">
        <f t="shared" si="57"/>
        <v>0</v>
      </c>
      <c r="AN62" s="49">
        <v>21</v>
      </c>
      <c r="AO62" s="49">
        <f>H62*0</f>
        <v>0</v>
      </c>
      <c r="AP62" s="49">
        <f>H62*(1-0)</f>
        <v>0</v>
      </c>
      <c r="AQ62" s="45" t="s">
        <v>63</v>
      </c>
      <c r="AV62" s="49">
        <f t="shared" si="58"/>
        <v>0</v>
      </c>
      <c r="AW62" s="49">
        <f t="shared" si="59"/>
        <v>0</v>
      </c>
      <c r="AX62" s="49">
        <f t="shared" si="60"/>
        <v>0</v>
      </c>
      <c r="AY62" s="50" t="s">
        <v>329</v>
      </c>
      <c r="AZ62" s="50" t="s">
        <v>341</v>
      </c>
      <c r="BA62" s="46" t="s">
        <v>345</v>
      </c>
      <c r="BC62" s="49">
        <f t="shared" si="61"/>
        <v>0</v>
      </c>
      <c r="BD62" s="49">
        <f t="shared" si="62"/>
        <v>0</v>
      </c>
      <c r="BE62" s="49">
        <v>0</v>
      </c>
      <c r="BF62" s="49">
        <f>62</f>
        <v>62</v>
      </c>
      <c r="BH62" s="34">
        <f t="shared" si="63"/>
        <v>0</v>
      </c>
      <c r="BI62" s="34">
        <f t="shared" si="64"/>
        <v>0</v>
      </c>
      <c r="BJ62" s="34">
        <f t="shared" si="65"/>
        <v>0</v>
      </c>
    </row>
    <row r="63" spans="1:47" ht="12.75">
      <c r="A63" s="25"/>
      <c r="B63" s="32" t="s">
        <v>174</v>
      </c>
      <c r="C63" s="119" t="s">
        <v>256</v>
      </c>
      <c r="D63" s="120"/>
      <c r="E63" s="120"/>
      <c r="F63" s="25" t="s">
        <v>58</v>
      </c>
      <c r="G63" s="25" t="s">
        <v>58</v>
      </c>
      <c r="H63" s="25" t="s">
        <v>58</v>
      </c>
      <c r="I63" s="52">
        <f>SUM(I64:I74)</f>
        <v>0</v>
      </c>
      <c r="J63" s="52">
        <f>SUM(J64:J74)</f>
        <v>0</v>
      </c>
      <c r="K63" s="52">
        <f>SUM(K64:K74)</f>
        <v>0</v>
      </c>
      <c r="L63" s="46"/>
      <c r="AI63" s="46"/>
      <c r="AS63" s="52">
        <f>SUM(AJ64:AJ74)</f>
        <v>0</v>
      </c>
      <c r="AT63" s="52">
        <f>SUM(AK64:AK74)</f>
        <v>0</v>
      </c>
      <c r="AU63" s="52">
        <f>SUM(AL64:AL74)</f>
        <v>0</v>
      </c>
    </row>
    <row r="64" spans="1:62" ht="12.75">
      <c r="A64" s="24" t="s">
        <v>103</v>
      </c>
      <c r="B64" s="24" t="s">
        <v>175</v>
      </c>
      <c r="C64" s="115" t="s">
        <v>257</v>
      </c>
      <c r="D64" s="116"/>
      <c r="E64" s="116"/>
      <c r="F64" s="24" t="s">
        <v>298</v>
      </c>
      <c r="G64" s="34">
        <v>22.8</v>
      </c>
      <c r="H64" s="34">
        <v>0</v>
      </c>
      <c r="I64" s="34">
        <f aca="true" t="shared" si="66" ref="I64:I74">G64*AO64</f>
        <v>0</v>
      </c>
      <c r="J64" s="34">
        <f aca="true" t="shared" si="67" ref="J64:J74">G64*AP64</f>
        <v>0</v>
      </c>
      <c r="K64" s="34">
        <f aca="true" t="shared" si="68" ref="K64:K74">G64*H64</f>
        <v>0</v>
      </c>
      <c r="L64" s="45" t="s">
        <v>313</v>
      </c>
      <c r="Z64" s="49">
        <f aca="true" t="shared" si="69" ref="Z64:Z74">IF(AQ64="5",BJ64,0)</f>
        <v>0</v>
      </c>
      <c r="AB64" s="49">
        <f aca="true" t="shared" si="70" ref="AB64:AB74">IF(AQ64="1",BH64,0)</f>
        <v>0</v>
      </c>
      <c r="AC64" s="49">
        <f aca="true" t="shared" si="71" ref="AC64:AC74">IF(AQ64="1",BI64,0)</f>
        <v>0</v>
      </c>
      <c r="AD64" s="49">
        <f aca="true" t="shared" si="72" ref="AD64:AD74">IF(AQ64="7",BH64,0)</f>
        <v>0</v>
      </c>
      <c r="AE64" s="49">
        <f aca="true" t="shared" si="73" ref="AE64:AE74">IF(AQ64="7",BI64,0)</f>
        <v>0</v>
      </c>
      <c r="AF64" s="49">
        <f aca="true" t="shared" si="74" ref="AF64:AF74">IF(AQ64="2",BH64,0)</f>
        <v>0</v>
      </c>
      <c r="AG64" s="49">
        <f aca="true" t="shared" si="75" ref="AG64:AG74">IF(AQ64="2",BI64,0)</f>
        <v>0</v>
      </c>
      <c r="AH64" s="49">
        <f aca="true" t="shared" si="76" ref="AH64:AH74">IF(AQ64="0",BJ64,0)</f>
        <v>0</v>
      </c>
      <c r="AI64" s="46"/>
      <c r="AJ64" s="34">
        <f aca="true" t="shared" si="77" ref="AJ64:AJ74">IF(AN64=0,K64,0)</f>
        <v>0</v>
      </c>
      <c r="AK64" s="34">
        <f aca="true" t="shared" si="78" ref="AK64:AK74">IF(AN64=15,K64,0)</f>
        <v>0</v>
      </c>
      <c r="AL64" s="34">
        <f aca="true" t="shared" si="79" ref="AL64:AL74">IF(AN64=21,K64,0)</f>
        <v>0</v>
      </c>
      <c r="AN64" s="49">
        <v>21</v>
      </c>
      <c r="AO64" s="49">
        <f>H64*0</f>
        <v>0</v>
      </c>
      <c r="AP64" s="49">
        <f>H64*(1-0)</f>
        <v>0</v>
      </c>
      <c r="AQ64" s="45" t="s">
        <v>65</v>
      </c>
      <c r="AV64" s="49">
        <f aca="true" t="shared" si="80" ref="AV64:AV74">AW64+AX64</f>
        <v>0</v>
      </c>
      <c r="AW64" s="49">
        <f aca="true" t="shared" si="81" ref="AW64:AW74">G64*AO64</f>
        <v>0</v>
      </c>
      <c r="AX64" s="49">
        <f aca="true" t="shared" si="82" ref="AX64:AX74">G64*AP64</f>
        <v>0</v>
      </c>
      <c r="AY64" s="50" t="s">
        <v>330</v>
      </c>
      <c r="AZ64" s="50" t="s">
        <v>342</v>
      </c>
      <c r="BA64" s="46" t="s">
        <v>345</v>
      </c>
      <c r="BC64" s="49">
        <f aca="true" t="shared" si="83" ref="BC64:BC74">AW64+AX64</f>
        <v>0</v>
      </c>
      <c r="BD64" s="49">
        <f aca="true" t="shared" si="84" ref="BD64:BD74">H64/(100-BE64)*100</f>
        <v>0</v>
      </c>
      <c r="BE64" s="49">
        <v>0</v>
      </c>
      <c r="BF64" s="49">
        <f>64</f>
        <v>64</v>
      </c>
      <c r="BH64" s="34">
        <f aca="true" t="shared" si="85" ref="BH64:BH74">G64*AO64</f>
        <v>0</v>
      </c>
      <c r="BI64" s="34">
        <f aca="true" t="shared" si="86" ref="BI64:BI74">G64*AP64</f>
        <v>0</v>
      </c>
      <c r="BJ64" s="34">
        <f aca="true" t="shared" si="87" ref="BJ64:BJ74">G64*H64</f>
        <v>0</v>
      </c>
    </row>
    <row r="65" spans="1:62" ht="12.75">
      <c r="A65" s="26" t="s">
        <v>104</v>
      </c>
      <c r="B65" s="26" t="s">
        <v>176</v>
      </c>
      <c r="C65" s="121" t="s">
        <v>258</v>
      </c>
      <c r="D65" s="122"/>
      <c r="E65" s="122"/>
      <c r="F65" s="26" t="s">
        <v>301</v>
      </c>
      <c r="G65" s="35">
        <v>5</v>
      </c>
      <c r="H65" s="35">
        <v>0</v>
      </c>
      <c r="I65" s="35">
        <f t="shared" si="66"/>
        <v>0</v>
      </c>
      <c r="J65" s="35">
        <f t="shared" si="67"/>
        <v>0</v>
      </c>
      <c r="K65" s="35">
        <f t="shared" si="68"/>
        <v>0</v>
      </c>
      <c r="L65" s="47" t="s">
        <v>313</v>
      </c>
      <c r="Z65" s="49">
        <f t="shared" si="69"/>
        <v>0</v>
      </c>
      <c r="AB65" s="49">
        <f t="shared" si="70"/>
        <v>0</v>
      </c>
      <c r="AC65" s="49">
        <f t="shared" si="71"/>
        <v>0</v>
      </c>
      <c r="AD65" s="49">
        <f t="shared" si="72"/>
        <v>0</v>
      </c>
      <c r="AE65" s="49">
        <f t="shared" si="73"/>
        <v>0</v>
      </c>
      <c r="AF65" s="49">
        <f t="shared" si="74"/>
        <v>0</v>
      </c>
      <c r="AG65" s="49">
        <f t="shared" si="75"/>
        <v>0</v>
      </c>
      <c r="AH65" s="49">
        <f t="shared" si="76"/>
        <v>0</v>
      </c>
      <c r="AI65" s="46"/>
      <c r="AJ65" s="35">
        <f t="shared" si="77"/>
        <v>0</v>
      </c>
      <c r="AK65" s="35">
        <f t="shared" si="78"/>
        <v>0</v>
      </c>
      <c r="AL65" s="35">
        <f t="shared" si="79"/>
        <v>0</v>
      </c>
      <c r="AN65" s="49">
        <v>21</v>
      </c>
      <c r="AO65" s="49">
        <f>H65*1</f>
        <v>0</v>
      </c>
      <c r="AP65" s="49">
        <f>H65*(1-1)</f>
        <v>0</v>
      </c>
      <c r="AQ65" s="47" t="s">
        <v>65</v>
      </c>
      <c r="AV65" s="49">
        <f t="shared" si="80"/>
        <v>0</v>
      </c>
      <c r="AW65" s="49">
        <f t="shared" si="81"/>
        <v>0</v>
      </c>
      <c r="AX65" s="49">
        <f t="shared" si="82"/>
        <v>0</v>
      </c>
      <c r="AY65" s="50" t="s">
        <v>330</v>
      </c>
      <c r="AZ65" s="50" t="s">
        <v>342</v>
      </c>
      <c r="BA65" s="46" t="s">
        <v>345</v>
      </c>
      <c r="BC65" s="49">
        <f t="shared" si="83"/>
        <v>0</v>
      </c>
      <c r="BD65" s="49">
        <f t="shared" si="84"/>
        <v>0</v>
      </c>
      <c r="BE65" s="49">
        <v>0</v>
      </c>
      <c r="BF65" s="49">
        <f>65</f>
        <v>65</v>
      </c>
      <c r="BH65" s="35">
        <f t="shared" si="85"/>
        <v>0</v>
      </c>
      <c r="BI65" s="35">
        <f t="shared" si="86"/>
        <v>0</v>
      </c>
      <c r="BJ65" s="35">
        <f t="shared" si="87"/>
        <v>0</v>
      </c>
    </row>
    <row r="66" spans="1:62" ht="12.75">
      <c r="A66" s="24" t="s">
        <v>105</v>
      </c>
      <c r="B66" s="24" t="s">
        <v>177</v>
      </c>
      <c r="C66" s="115" t="s">
        <v>259</v>
      </c>
      <c r="D66" s="116"/>
      <c r="E66" s="116"/>
      <c r="F66" s="24" t="s">
        <v>298</v>
      </c>
      <c r="G66" s="34">
        <v>22.8</v>
      </c>
      <c r="H66" s="34">
        <v>0</v>
      </c>
      <c r="I66" s="34">
        <f t="shared" si="66"/>
        <v>0</v>
      </c>
      <c r="J66" s="34">
        <f t="shared" si="67"/>
        <v>0</v>
      </c>
      <c r="K66" s="34">
        <f t="shared" si="68"/>
        <v>0</v>
      </c>
      <c r="L66" s="45" t="s">
        <v>313</v>
      </c>
      <c r="Z66" s="49">
        <f t="shared" si="69"/>
        <v>0</v>
      </c>
      <c r="AB66" s="49">
        <f t="shared" si="70"/>
        <v>0</v>
      </c>
      <c r="AC66" s="49">
        <f t="shared" si="71"/>
        <v>0</v>
      </c>
      <c r="AD66" s="49">
        <f t="shared" si="72"/>
        <v>0</v>
      </c>
      <c r="AE66" s="49">
        <f t="shared" si="73"/>
        <v>0</v>
      </c>
      <c r="AF66" s="49">
        <f t="shared" si="74"/>
        <v>0</v>
      </c>
      <c r="AG66" s="49">
        <f t="shared" si="75"/>
        <v>0</v>
      </c>
      <c r="AH66" s="49">
        <f t="shared" si="76"/>
        <v>0</v>
      </c>
      <c r="AI66" s="46"/>
      <c r="AJ66" s="34">
        <f t="shared" si="77"/>
        <v>0</v>
      </c>
      <c r="AK66" s="34">
        <f t="shared" si="78"/>
        <v>0</v>
      </c>
      <c r="AL66" s="34">
        <f t="shared" si="79"/>
        <v>0</v>
      </c>
      <c r="AN66" s="49">
        <v>21</v>
      </c>
      <c r="AO66" s="49">
        <f>H66*0.310292189067085</f>
        <v>0</v>
      </c>
      <c r="AP66" s="49">
        <f>H66*(1-0.310292189067085)</f>
        <v>0</v>
      </c>
      <c r="AQ66" s="45" t="s">
        <v>65</v>
      </c>
      <c r="AV66" s="49">
        <f t="shared" si="80"/>
        <v>0</v>
      </c>
      <c r="AW66" s="49">
        <f t="shared" si="81"/>
        <v>0</v>
      </c>
      <c r="AX66" s="49">
        <f t="shared" si="82"/>
        <v>0</v>
      </c>
      <c r="AY66" s="50" t="s">
        <v>330</v>
      </c>
      <c r="AZ66" s="50" t="s">
        <v>342</v>
      </c>
      <c r="BA66" s="46" t="s">
        <v>345</v>
      </c>
      <c r="BC66" s="49">
        <f t="shared" si="83"/>
        <v>0</v>
      </c>
      <c r="BD66" s="49">
        <f t="shared" si="84"/>
        <v>0</v>
      </c>
      <c r="BE66" s="49">
        <v>0</v>
      </c>
      <c r="BF66" s="49">
        <f>66</f>
        <v>66</v>
      </c>
      <c r="BH66" s="34">
        <f t="shared" si="85"/>
        <v>0</v>
      </c>
      <c r="BI66" s="34">
        <f t="shared" si="86"/>
        <v>0</v>
      </c>
      <c r="BJ66" s="34">
        <f t="shared" si="87"/>
        <v>0</v>
      </c>
    </row>
    <row r="67" spans="1:62" ht="12.75">
      <c r="A67" s="26" t="s">
        <v>106</v>
      </c>
      <c r="B67" s="26" t="s">
        <v>178</v>
      </c>
      <c r="C67" s="121" t="s">
        <v>260</v>
      </c>
      <c r="D67" s="122"/>
      <c r="E67" s="122"/>
      <c r="F67" s="26" t="s">
        <v>298</v>
      </c>
      <c r="G67" s="35">
        <v>27.36</v>
      </c>
      <c r="H67" s="35">
        <v>0</v>
      </c>
      <c r="I67" s="35">
        <f t="shared" si="66"/>
        <v>0</v>
      </c>
      <c r="J67" s="35">
        <f t="shared" si="67"/>
        <v>0</v>
      </c>
      <c r="K67" s="35">
        <f t="shared" si="68"/>
        <v>0</v>
      </c>
      <c r="L67" s="47" t="s">
        <v>313</v>
      </c>
      <c r="Z67" s="49">
        <f t="shared" si="69"/>
        <v>0</v>
      </c>
      <c r="AB67" s="49">
        <f t="shared" si="70"/>
        <v>0</v>
      </c>
      <c r="AC67" s="49">
        <f t="shared" si="71"/>
        <v>0</v>
      </c>
      <c r="AD67" s="49">
        <f t="shared" si="72"/>
        <v>0</v>
      </c>
      <c r="AE67" s="49">
        <f t="shared" si="73"/>
        <v>0</v>
      </c>
      <c r="AF67" s="49">
        <f t="shared" si="74"/>
        <v>0</v>
      </c>
      <c r="AG67" s="49">
        <f t="shared" si="75"/>
        <v>0</v>
      </c>
      <c r="AH67" s="49">
        <f t="shared" si="76"/>
        <v>0</v>
      </c>
      <c r="AI67" s="46"/>
      <c r="AJ67" s="35">
        <f t="shared" si="77"/>
        <v>0</v>
      </c>
      <c r="AK67" s="35">
        <f t="shared" si="78"/>
        <v>0</v>
      </c>
      <c r="AL67" s="35">
        <f t="shared" si="79"/>
        <v>0</v>
      </c>
      <c r="AN67" s="49">
        <v>21</v>
      </c>
      <c r="AO67" s="49">
        <f>H67*1</f>
        <v>0</v>
      </c>
      <c r="AP67" s="49">
        <f>H67*(1-1)</f>
        <v>0</v>
      </c>
      <c r="AQ67" s="47" t="s">
        <v>65</v>
      </c>
      <c r="AV67" s="49">
        <f t="shared" si="80"/>
        <v>0</v>
      </c>
      <c r="AW67" s="49">
        <f t="shared" si="81"/>
        <v>0</v>
      </c>
      <c r="AX67" s="49">
        <f t="shared" si="82"/>
        <v>0</v>
      </c>
      <c r="AY67" s="50" t="s">
        <v>330</v>
      </c>
      <c r="AZ67" s="50" t="s">
        <v>342</v>
      </c>
      <c r="BA67" s="46" t="s">
        <v>345</v>
      </c>
      <c r="BC67" s="49">
        <f t="shared" si="83"/>
        <v>0</v>
      </c>
      <c r="BD67" s="49">
        <f t="shared" si="84"/>
        <v>0</v>
      </c>
      <c r="BE67" s="49">
        <v>0</v>
      </c>
      <c r="BF67" s="49">
        <f>67</f>
        <v>67</v>
      </c>
      <c r="BH67" s="35">
        <f t="shared" si="85"/>
        <v>0</v>
      </c>
      <c r="BI67" s="35">
        <f t="shared" si="86"/>
        <v>0</v>
      </c>
      <c r="BJ67" s="35">
        <f t="shared" si="87"/>
        <v>0</v>
      </c>
    </row>
    <row r="68" spans="1:62" ht="12.75">
      <c r="A68" s="26" t="s">
        <v>107</v>
      </c>
      <c r="B68" s="26" t="s">
        <v>179</v>
      </c>
      <c r="C68" s="121" t="s">
        <v>261</v>
      </c>
      <c r="D68" s="122"/>
      <c r="E68" s="122"/>
      <c r="F68" s="26" t="s">
        <v>301</v>
      </c>
      <c r="G68" s="35">
        <v>50</v>
      </c>
      <c r="H68" s="35">
        <v>0</v>
      </c>
      <c r="I68" s="35">
        <f t="shared" si="66"/>
        <v>0</v>
      </c>
      <c r="J68" s="35">
        <f t="shared" si="67"/>
        <v>0</v>
      </c>
      <c r="K68" s="35">
        <f t="shared" si="68"/>
        <v>0</v>
      </c>
      <c r="L68" s="47" t="s">
        <v>313</v>
      </c>
      <c r="Z68" s="49">
        <f t="shared" si="69"/>
        <v>0</v>
      </c>
      <c r="AB68" s="49">
        <f t="shared" si="70"/>
        <v>0</v>
      </c>
      <c r="AC68" s="49">
        <f t="shared" si="71"/>
        <v>0</v>
      </c>
      <c r="AD68" s="49">
        <f t="shared" si="72"/>
        <v>0</v>
      </c>
      <c r="AE68" s="49">
        <f t="shared" si="73"/>
        <v>0</v>
      </c>
      <c r="AF68" s="49">
        <f t="shared" si="74"/>
        <v>0</v>
      </c>
      <c r="AG68" s="49">
        <f t="shared" si="75"/>
        <v>0</v>
      </c>
      <c r="AH68" s="49">
        <f t="shared" si="76"/>
        <v>0</v>
      </c>
      <c r="AI68" s="46"/>
      <c r="AJ68" s="35">
        <f t="shared" si="77"/>
        <v>0</v>
      </c>
      <c r="AK68" s="35">
        <f t="shared" si="78"/>
        <v>0</v>
      </c>
      <c r="AL68" s="35">
        <f t="shared" si="79"/>
        <v>0</v>
      </c>
      <c r="AN68" s="49">
        <v>21</v>
      </c>
      <c r="AO68" s="49">
        <f>H68*1</f>
        <v>0</v>
      </c>
      <c r="AP68" s="49">
        <f>H68*(1-1)</f>
        <v>0</v>
      </c>
      <c r="AQ68" s="47" t="s">
        <v>65</v>
      </c>
      <c r="AV68" s="49">
        <f t="shared" si="80"/>
        <v>0</v>
      </c>
      <c r="AW68" s="49">
        <f t="shared" si="81"/>
        <v>0</v>
      </c>
      <c r="AX68" s="49">
        <f t="shared" si="82"/>
        <v>0</v>
      </c>
      <c r="AY68" s="50" t="s">
        <v>330</v>
      </c>
      <c r="AZ68" s="50" t="s">
        <v>342</v>
      </c>
      <c r="BA68" s="46" t="s">
        <v>345</v>
      </c>
      <c r="BC68" s="49">
        <f t="shared" si="83"/>
        <v>0</v>
      </c>
      <c r="BD68" s="49">
        <f t="shared" si="84"/>
        <v>0</v>
      </c>
      <c r="BE68" s="49">
        <v>0</v>
      </c>
      <c r="BF68" s="49">
        <f>68</f>
        <v>68</v>
      </c>
      <c r="BH68" s="35">
        <f t="shared" si="85"/>
        <v>0</v>
      </c>
      <c r="BI68" s="35">
        <f t="shared" si="86"/>
        <v>0</v>
      </c>
      <c r="BJ68" s="35">
        <f t="shared" si="87"/>
        <v>0</v>
      </c>
    </row>
    <row r="69" spans="1:62" ht="12.75">
      <c r="A69" s="24" t="s">
        <v>108</v>
      </c>
      <c r="B69" s="24" t="s">
        <v>180</v>
      </c>
      <c r="C69" s="115" t="s">
        <v>262</v>
      </c>
      <c r="D69" s="116"/>
      <c r="E69" s="116"/>
      <c r="F69" s="24" t="s">
        <v>300</v>
      </c>
      <c r="G69" s="34">
        <v>25.08</v>
      </c>
      <c r="H69" s="34">
        <v>0</v>
      </c>
      <c r="I69" s="34">
        <f t="shared" si="66"/>
        <v>0</v>
      </c>
      <c r="J69" s="34">
        <f t="shared" si="67"/>
        <v>0</v>
      </c>
      <c r="K69" s="34">
        <f t="shared" si="68"/>
        <v>0</v>
      </c>
      <c r="L69" s="45" t="s">
        <v>313</v>
      </c>
      <c r="Z69" s="49">
        <f t="shared" si="69"/>
        <v>0</v>
      </c>
      <c r="AB69" s="49">
        <f t="shared" si="70"/>
        <v>0</v>
      </c>
      <c r="AC69" s="49">
        <f t="shared" si="71"/>
        <v>0</v>
      </c>
      <c r="AD69" s="49">
        <f t="shared" si="72"/>
        <v>0</v>
      </c>
      <c r="AE69" s="49">
        <f t="shared" si="73"/>
        <v>0</v>
      </c>
      <c r="AF69" s="49">
        <f t="shared" si="74"/>
        <v>0</v>
      </c>
      <c r="AG69" s="49">
        <f t="shared" si="75"/>
        <v>0</v>
      </c>
      <c r="AH69" s="49">
        <f t="shared" si="76"/>
        <v>0</v>
      </c>
      <c r="AI69" s="46"/>
      <c r="AJ69" s="34">
        <f t="shared" si="77"/>
        <v>0</v>
      </c>
      <c r="AK69" s="34">
        <f t="shared" si="78"/>
        <v>0</v>
      </c>
      <c r="AL69" s="34">
        <f t="shared" si="79"/>
        <v>0</v>
      </c>
      <c r="AN69" s="49">
        <v>21</v>
      </c>
      <c r="AO69" s="49">
        <f>H69*0.05778261424017</f>
        <v>0</v>
      </c>
      <c r="AP69" s="49">
        <f>H69*(1-0.05778261424017)</f>
        <v>0</v>
      </c>
      <c r="AQ69" s="45" t="s">
        <v>65</v>
      </c>
      <c r="AV69" s="49">
        <f t="shared" si="80"/>
        <v>0</v>
      </c>
      <c r="AW69" s="49">
        <f t="shared" si="81"/>
        <v>0</v>
      </c>
      <c r="AX69" s="49">
        <f t="shared" si="82"/>
        <v>0</v>
      </c>
      <c r="AY69" s="50" t="s">
        <v>330</v>
      </c>
      <c r="AZ69" s="50" t="s">
        <v>342</v>
      </c>
      <c r="BA69" s="46" t="s">
        <v>345</v>
      </c>
      <c r="BC69" s="49">
        <f t="shared" si="83"/>
        <v>0</v>
      </c>
      <c r="BD69" s="49">
        <f t="shared" si="84"/>
        <v>0</v>
      </c>
      <c r="BE69" s="49">
        <v>0</v>
      </c>
      <c r="BF69" s="49">
        <f>69</f>
        <v>69</v>
      </c>
      <c r="BH69" s="34">
        <f t="shared" si="85"/>
        <v>0</v>
      </c>
      <c r="BI69" s="34">
        <f t="shared" si="86"/>
        <v>0</v>
      </c>
      <c r="BJ69" s="34">
        <f t="shared" si="87"/>
        <v>0</v>
      </c>
    </row>
    <row r="70" spans="1:62" ht="12.75">
      <c r="A70" s="24" t="s">
        <v>109</v>
      </c>
      <c r="B70" s="24" t="s">
        <v>181</v>
      </c>
      <c r="C70" s="115" t="s">
        <v>263</v>
      </c>
      <c r="D70" s="116"/>
      <c r="E70" s="116"/>
      <c r="F70" s="24" t="s">
        <v>300</v>
      </c>
      <c r="G70" s="34">
        <v>25.08</v>
      </c>
      <c r="H70" s="34">
        <v>0</v>
      </c>
      <c r="I70" s="34">
        <f t="shared" si="66"/>
        <v>0</v>
      </c>
      <c r="J70" s="34">
        <f t="shared" si="67"/>
        <v>0</v>
      </c>
      <c r="K70" s="34">
        <f t="shared" si="68"/>
        <v>0</v>
      </c>
      <c r="L70" s="45" t="s">
        <v>313</v>
      </c>
      <c r="Z70" s="49">
        <f t="shared" si="69"/>
        <v>0</v>
      </c>
      <c r="AB70" s="49">
        <f t="shared" si="70"/>
        <v>0</v>
      </c>
      <c r="AC70" s="49">
        <f t="shared" si="71"/>
        <v>0</v>
      </c>
      <c r="AD70" s="49">
        <f t="shared" si="72"/>
        <v>0</v>
      </c>
      <c r="AE70" s="49">
        <f t="shared" si="73"/>
        <v>0</v>
      </c>
      <c r="AF70" s="49">
        <f t="shared" si="74"/>
        <v>0</v>
      </c>
      <c r="AG70" s="49">
        <f t="shared" si="75"/>
        <v>0</v>
      </c>
      <c r="AH70" s="49">
        <f t="shared" si="76"/>
        <v>0</v>
      </c>
      <c r="AI70" s="46"/>
      <c r="AJ70" s="34">
        <f t="shared" si="77"/>
        <v>0</v>
      </c>
      <c r="AK70" s="34">
        <f t="shared" si="78"/>
        <v>0</v>
      </c>
      <c r="AL70" s="34">
        <f t="shared" si="79"/>
        <v>0</v>
      </c>
      <c r="AN70" s="49">
        <v>21</v>
      </c>
      <c r="AO70" s="49">
        <f>H70*0</f>
        <v>0</v>
      </c>
      <c r="AP70" s="49">
        <f>H70*(1-0)</f>
        <v>0</v>
      </c>
      <c r="AQ70" s="45" t="s">
        <v>65</v>
      </c>
      <c r="AV70" s="49">
        <f t="shared" si="80"/>
        <v>0</v>
      </c>
      <c r="AW70" s="49">
        <f t="shared" si="81"/>
        <v>0</v>
      </c>
      <c r="AX70" s="49">
        <f t="shared" si="82"/>
        <v>0</v>
      </c>
      <c r="AY70" s="50" t="s">
        <v>330</v>
      </c>
      <c r="AZ70" s="50" t="s">
        <v>342</v>
      </c>
      <c r="BA70" s="46" t="s">
        <v>345</v>
      </c>
      <c r="BC70" s="49">
        <f t="shared" si="83"/>
        <v>0</v>
      </c>
      <c r="BD70" s="49">
        <f t="shared" si="84"/>
        <v>0</v>
      </c>
      <c r="BE70" s="49">
        <v>0</v>
      </c>
      <c r="BF70" s="49">
        <f>70</f>
        <v>70</v>
      </c>
      <c r="BH70" s="34">
        <f t="shared" si="85"/>
        <v>0</v>
      </c>
      <c r="BI70" s="34">
        <f t="shared" si="86"/>
        <v>0</v>
      </c>
      <c r="BJ70" s="34">
        <f t="shared" si="87"/>
        <v>0</v>
      </c>
    </row>
    <row r="71" spans="1:62" ht="12.75">
      <c r="A71" s="24" t="s">
        <v>110</v>
      </c>
      <c r="B71" s="24" t="s">
        <v>180</v>
      </c>
      <c r="C71" s="115" t="s">
        <v>264</v>
      </c>
      <c r="D71" s="116"/>
      <c r="E71" s="116"/>
      <c r="F71" s="24" t="s">
        <v>300</v>
      </c>
      <c r="G71" s="34">
        <v>25.08</v>
      </c>
      <c r="H71" s="34">
        <v>0</v>
      </c>
      <c r="I71" s="34">
        <f t="shared" si="66"/>
        <v>0</v>
      </c>
      <c r="J71" s="34">
        <f t="shared" si="67"/>
        <v>0</v>
      </c>
      <c r="K71" s="34">
        <f t="shared" si="68"/>
        <v>0</v>
      </c>
      <c r="L71" s="45" t="s">
        <v>313</v>
      </c>
      <c r="Z71" s="49">
        <f t="shared" si="69"/>
        <v>0</v>
      </c>
      <c r="AB71" s="49">
        <f t="shared" si="70"/>
        <v>0</v>
      </c>
      <c r="AC71" s="49">
        <f t="shared" si="71"/>
        <v>0</v>
      </c>
      <c r="AD71" s="49">
        <f t="shared" si="72"/>
        <v>0</v>
      </c>
      <c r="AE71" s="49">
        <f t="shared" si="73"/>
        <v>0</v>
      </c>
      <c r="AF71" s="49">
        <f t="shared" si="74"/>
        <v>0</v>
      </c>
      <c r="AG71" s="49">
        <f t="shared" si="75"/>
        <v>0</v>
      </c>
      <c r="AH71" s="49">
        <f t="shared" si="76"/>
        <v>0</v>
      </c>
      <c r="AI71" s="46"/>
      <c r="AJ71" s="34">
        <f t="shared" si="77"/>
        <v>0</v>
      </c>
      <c r="AK71" s="34">
        <f t="shared" si="78"/>
        <v>0</v>
      </c>
      <c r="AL71" s="34">
        <f t="shared" si="79"/>
        <v>0</v>
      </c>
      <c r="AN71" s="49">
        <v>21</v>
      </c>
      <c r="AO71" s="49">
        <f>H71*0.05778261424017</f>
        <v>0</v>
      </c>
      <c r="AP71" s="49">
        <f>H71*(1-0.05778261424017)</f>
        <v>0</v>
      </c>
      <c r="AQ71" s="45" t="s">
        <v>65</v>
      </c>
      <c r="AV71" s="49">
        <f t="shared" si="80"/>
        <v>0</v>
      </c>
      <c r="AW71" s="49">
        <f t="shared" si="81"/>
        <v>0</v>
      </c>
      <c r="AX71" s="49">
        <f t="shared" si="82"/>
        <v>0</v>
      </c>
      <c r="AY71" s="50" t="s">
        <v>330</v>
      </c>
      <c r="AZ71" s="50" t="s">
        <v>342</v>
      </c>
      <c r="BA71" s="46" t="s">
        <v>345</v>
      </c>
      <c r="BC71" s="49">
        <f t="shared" si="83"/>
        <v>0</v>
      </c>
      <c r="BD71" s="49">
        <f t="shared" si="84"/>
        <v>0</v>
      </c>
      <c r="BE71" s="49">
        <v>0</v>
      </c>
      <c r="BF71" s="49">
        <f>71</f>
        <v>71</v>
      </c>
      <c r="BH71" s="34">
        <f t="shared" si="85"/>
        <v>0</v>
      </c>
      <c r="BI71" s="34">
        <f t="shared" si="86"/>
        <v>0</v>
      </c>
      <c r="BJ71" s="34">
        <f t="shared" si="87"/>
        <v>0</v>
      </c>
    </row>
    <row r="72" spans="1:62" ht="12.75">
      <c r="A72" s="24" t="s">
        <v>111</v>
      </c>
      <c r="B72" s="24" t="s">
        <v>182</v>
      </c>
      <c r="C72" s="115" t="s">
        <v>265</v>
      </c>
      <c r="D72" s="116"/>
      <c r="E72" s="116"/>
      <c r="F72" s="24" t="s">
        <v>300</v>
      </c>
      <c r="G72" s="34">
        <v>25.08</v>
      </c>
      <c r="H72" s="34">
        <v>0</v>
      </c>
      <c r="I72" s="34">
        <f t="shared" si="66"/>
        <v>0</v>
      </c>
      <c r="J72" s="34">
        <f t="shared" si="67"/>
        <v>0</v>
      </c>
      <c r="K72" s="34">
        <f t="shared" si="68"/>
        <v>0</v>
      </c>
      <c r="L72" s="45" t="s">
        <v>313</v>
      </c>
      <c r="Z72" s="49">
        <f t="shared" si="69"/>
        <v>0</v>
      </c>
      <c r="AB72" s="49">
        <f t="shared" si="70"/>
        <v>0</v>
      </c>
      <c r="AC72" s="49">
        <f t="shared" si="71"/>
        <v>0</v>
      </c>
      <c r="AD72" s="49">
        <f t="shared" si="72"/>
        <v>0</v>
      </c>
      <c r="AE72" s="49">
        <f t="shared" si="73"/>
        <v>0</v>
      </c>
      <c r="AF72" s="49">
        <f t="shared" si="74"/>
        <v>0</v>
      </c>
      <c r="AG72" s="49">
        <f t="shared" si="75"/>
        <v>0</v>
      </c>
      <c r="AH72" s="49">
        <f t="shared" si="76"/>
        <v>0</v>
      </c>
      <c r="AI72" s="46"/>
      <c r="AJ72" s="34">
        <f t="shared" si="77"/>
        <v>0</v>
      </c>
      <c r="AK72" s="34">
        <f t="shared" si="78"/>
        <v>0</v>
      </c>
      <c r="AL72" s="34">
        <f t="shared" si="79"/>
        <v>0</v>
      </c>
      <c r="AN72" s="49">
        <v>21</v>
      </c>
      <c r="AO72" s="49">
        <f>H72*0.375090792627192</f>
        <v>0</v>
      </c>
      <c r="AP72" s="49">
        <f>H72*(1-0.375090792627192)</f>
        <v>0</v>
      </c>
      <c r="AQ72" s="45" t="s">
        <v>65</v>
      </c>
      <c r="AV72" s="49">
        <f t="shared" si="80"/>
        <v>0</v>
      </c>
      <c r="AW72" s="49">
        <f t="shared" si="81"/>
        <v>0</v>
      </c>
      <c r="AX72" s="49">
        <f t="shared" si="82"/>
        <v>0</v>
      </c>
      <c r="AY72" s="50" t="s">
        <v>330</v>
      </c>
      <c r="AZ72" s="50" t="s">
        <v>342</v>
      </c>
      <c r="BA72" s="46" t="s">
        <v>345</v>
      </c>
      <c r="BC72" s="49">
        <f t="shared" si="83"/>
        <v>0</v>
      </c>
      <c r="BD72" s="49">
        <f t="shared" si="84"/>
        <v>0</v>
      </c>
      <c r="BE72" s="49">
        <v>0</v>
      </c>
      <c r="BF72" s="49">
        <f>72</f>
        <v>72</v>
      </c>
      <c r="BH72" s="34">
        <f t="shared" si="85"/>
        <v>0</v>
      </c>
      <c r="BI72" s="34">
        <f t="shared" si="86"/>
        <v>0</v>
      </c>
      <c r="BJ72" s="34">
        <f t="shared" si="87"/>
        <v>0</v>
      </c>
    </row>
    <row r="73" spans="1:62" ht="12.75">
      <c r="A73" s="24" t="s">
        <v>112</v>
      </c>
      <c r="B73" s="24" t="s">
        <v>183</v>
      </c>
      <c r="C73" s="115" t="s">
        <v>266</v>
      </c>
      <c r="D73" s="116"/>
      <c r="E73" s="116"/>
      <c r="F73" s="24" t="s">
        <v>299</v>
      </c>
      <c r="G73" s="34">
        <v>0.67229</v>
      </c>
      <c r="H73" s="34">
        <v>0</v>
      </c>
      <c r="I73" s="34">
        <f t="shared" si="66"/>
        <v>0</v>
      </c>
      <c r="J73" s="34">
        <f t="shared" si="67"/>
        <v>0</v>
      </c>
      <c r="K73" s="34">
        <f t="shared" si="68"/>
        <v>0</v>
      </c>
      <c r="L73" s="45" t="s">
        <v>313</v>
      </c>
      <c r="Z73" s="49">
        <f t="shared" si="69"/>
        <v>0</v>
      </c>
      <c r="AB73" s="49">
        <f t="shared" si="70"/>
        <v>0</v>
      </c>
      <c r="AC73" s="49">
        <f t="shared" si="71"/>
        <v>0</v>
      </c>
      <c r="AD73" s="49">
        <f t="shared" si="72"/>
        <v>0</v>
      </c>
      <c r="AE73" s="49">
        <f t="shared" si="73"/>
        <v>0</v>
      </c>
      <c r="AF73" s="49">
        <f t="shared" si="74"/>
        <v>0</v>
      </c>
      <c r="AG73" s="49">
        <f t="shared" si="75"/>
        <v>0</v>
      </c>
      <c r="AH73" s="49">
        <f t="shared" si="76"/>
        <v>0</v>
      </c>
      <c r="AI73" s="46"/>
      <c r="AJ73" s="34">
        <f t="shared" si="77"/>
        <v>0</v>
      </c>
      <c r="AK73" s="34">
        <f t="shared" si="78"/>
        <v>0</v>
      </c>
      <c r="AL73" s="34">
        <f t="shared" si="79"/>
        <v>0</v>
      </c>
      <c r="AN73" s="49">
        <v>21</v>
      </c>
      <c r="AO73" s="49">
        <f>H73*0</f>
        <v>0</v>
      </c>
      <c r="AP73" s="49">
        <f>H73*(1-0)</f>
        <v>0</v>
      </c>
      <c r="AQ73" s="45" t="s">
        <v>63</v>
      </c>
      <c r="AV73" s="49">
        <f t="shared" si="80"/>
        <v>0</v>
      </c>
      <c r="AW73" s="49">
        <f t="shared" si="81"/>
        <v>0</v>
      </c>
      <c r="AX73" s="49">
        <f t="shared" si="82"/>
        <v>0</v>
      </c>
      <c r="AY73" s="50" t="s">
        <v>330</v>
      </c>
      <c r="AZ73" s="50" t="s">
        <v>342</v>
      </c>
      <c r="BA73" s="46" t="s">
        <v>345</v>
      </c>
      <c r="BC73" s="49">
        <f t="shared" si="83"/>
        <v>0</v>
      </c>
      <c r="BD73" s="49">
        <f t="shared" si="84"/>
        <v>0</v>
      </c>
      <c r="BE73" s="49">
        <v>0</v>
      </c>
      <c r="BF73" s="49">
        <f>73</f>
        <v>73</v>
      </c>
      <c r="BH73" s="34">
        <f t="shared" si="85"/>
        <v>0</v>
      </c>
      <c r="BI73" s="34">
        <f t="shared" si="86"/>
        <v>0</v>
      </c>
      <c r="BJ73" s="34">
        <f t="shared" si="87"/>
        <v>0</v>
      </c>
    </row>
    <row r="74" spans="1:62" ht="12.75">
      <c r="A74" s="24" t="s">
        <v>113</v>
      </c>
      <c r="B74" s="24" t="s">
        <v>150</v>
      </c>
      <c r="C74" s="115" t="s">
        <v>226</v>
      </c>
      <c r="D74" s="116"/>
      <c r="E74" s="116"/>
      <c r="F74" s="24" t="s">
        <v>299</v>
      </c>
      <c r="G74" s="34">
        <v>0.67229</v>
      </c>
      <c r="H74" s="34">
        <v>0</v>
      </c>
      <c r="I74" s="34">
        <f t="shared" si="66"/>
        <v>0</v>
      </c>
      <c r="J74" s="34">
        <f t="shared" si="67"/>
        <v>0</v>
      </c>
      <c r="K74" s="34">
        <f t="shared" si="68"/>
        <v>0</v>
      </c>
      <c r="L74" s="45" t="s">
        <v>313</v>
      </c>
      <c r="Z74" s="49">
        <f t="shared" si="69"/>
        <v>0</v>
      </c>
      <c r="AB74" s="49">
        <f t="shared" si="70"/>
        <v>0</v>
      </c>
      <c r="AC74" s="49">
        <f t="shared" si="71"/>
        <v>0</v>
      </c>
      <c r="AD74" s="49">
        <f t="shared" si="72"/>
        <v>0</v>
      </c>
      <c r="AE74" s="49">
        <f t="shared" si="73"/>
        <v>0</v>
      </c>
      <c r="AF74" s="49">
        <f t="shared" si="74"/>
        <v>0</v>
      </c>
      <c r="AG74" s="49">
        <f t="shared" si="75"/>
        <v>0</v>
      </c>
      <c r="AH74" s="49">
        <f t="shared" si="76"/>
        <v>0</v>
      </c>
      <c r="AI74" s="46"/>
      <c r="AJ74" s="34">
        <f t="shared" si="77"/>
        <v>0</v>
      </c>
      <c r="AK74" s="34">
        <f t="shared" si="78"/>
        <v>0</v>
      </c>
      <c r="AL74" s="34">
        <f t="shared" si="79"/>
        <v>0</v>
      </c>
      <c r="AN74" s="49">
        <v>21</v>
      </c>
      <c r="AO74" s="49">
        <f>H74*0</f>
        <v>0</v>
      </c>
      <c r="AP74" s="49">
        <f>H74*(1-0)</f>
        <v>0</v>
      </c>
      <c r="AQ74" s="45" t="s">
        <v>63</v>
      </c>
      <c r="AV74" s="49">
        <f t="shared" si="80"/>
        <v>0</v>
      </c>
      <c r="AW74" s="49">
        <f t="shared" si="81"/>
        <v>0</v>
      </c>
      <c r="AX74" s="49">
        <f t="shared" si="82"/>
        <v>0</v>
      </c>
      <c r="AY74" s="50" t="s">
        <v>330</v>
      </c>
      <c r="AZ74" s="50" t="s">
        <v>342</v>
      </c>
      <c r="BA74" s="46" t="s">
        <v>345</v>
      </c>
      <c r="BC74" s="49">
        <f t="shared" si="83"/>
        <v>0</v>
      </c>
      <c r="BD74" s="49">
        <f t="shared" si="84"/>
        <v>0</v>
      </c>
      <c r="BE74" s="49">
        <v>0</v>
      </c>
      <c r="BF74" s="49">
        <f>74</f>
        <v>74</v>
      </c>
      <c r="BH74" s="34">
        <f t="shared" si="85"/>
        <v>0</v>
      </c>
      <c r="BI74" s="34">
        <f t="shared" si="86"/>
        <v>0</v>
      </c>
      <c r="BJ74" s="34">
        <f t="shared" si="87"/>
        <v>0</v>
      </c>
    </row>
    <row r="75" spans="1:47" ht="12.75">
      <c r="A75" s="25"/>
      <c r="B75" s="32" t="s">
        <v>184</v>
      </c>
      <c r="C75" s="119" t="s">
        <v>267</v>
      </c>
      <c r="D75" s="120"/>
      <c r="E75" s="120"/>
      <c r="F75" s="25" t="s">
        <v>58</v>
      </c>
      <c r="G75" s="25" t="s">
        <v>58</v>
      </c>
      <c r="H75" s="25" t="s">
        <v>58</v>
      </c>
      <c r="I75" s="52">
        <f>SUM(I76:I77)</f>
        <v>0</v>
      </c>
      <c r="J75" s="52">
        <f>SUM(J76:J77)</f>
        <v>0</v>
      </c>
      <c r="K75" s="52">
        <f>SUM(K76:K77)</f>
        <v>0</v>
      </c>
      <c r="L75" s="46"/>
      <c r="AI75" s="46"/>
      <c r="AS75" s="52">
        <f>SUM(AJ76:AJ77)</f>
        <v>0</v>
      </c>
      <c r="AT75" s="52">
        <f>SUM(AK76:AK77)</f>
        <v>0</v>
      </c>
      <c r="AU75" s="52">
        <f>SUM(AL76:AL77)</f>
        <v>0</v>
      </c>
    </row>
    <row r="76" spans="1:62" ht="12.75">
      <c r="A76" s="24" t="s">
        <v>114</v>
      </c>
      <c r="B76" s="24" t="s">
        <v>185</v>
      </c>
      <c r="C76" s="115" t="s">
        <v>268</v>
      </c>
      <c r="D76" s="116"/>
      <c r="E76" s="116"/>
      <c r="F76" s="24" t="s">
        <v>298</v>
      </c>
      <c r="G76" s="34">
        <v>60</v>
      </c>
      <c r="H76" s="34">
        <v>0</v>
      </c>
      <c r="I76" s="34">
        <f>G76*AO76</f>
        <v>0</v>
      </c>
      <c r="J76" s="34">
        <f>G76*AP76</f>
        <v>0</v>
      </c>
      <c r="K76" s="34">
        <f>G76*H76</f>
        <v>0</v>
      </c>
      <c r="L76" s="45" t="s">
        <v>313</v>
      </c>
      <c r="Z76" s="49">
        <f>IF(AQ76="5",BJ76,0)</f>
        <v>0</v>
      </c>
      <c r="AB76" s="49">
        <f>IF(AQ76="1",BH76,0)</f>
        <v>0</v>
      </c>
      <c r="AC76" s="49">
        <f>IF(AQ76="1",BI76,0)</f>
        <v>0</v>
      </c>
      <c r="AD76" s="49">
        <f>IF(AQ76="7",BH76,0)</f>
        <v>0</v>
      </c>
      <c r="AE76" s="49">
        <f>IF(AQ76="7",BI76,0)</f>
        <v>0</v>
      </c>
      <c r="AF76" s="49">
        <f>IF(AQ76="2",BH76,0)</f>
        <v>0</v>
      </c>
      <c r="AG76" s="49">
        <f>IF(AQ76="2",BI76,0)</f>
        <v>0</v>
      </c>
      <c r="AH76" s="49">
        <f>IF(AQ76="0",BJ76,0)</f>
        <v>0</v>
      </c>
      <c r="AI76" s="46"/>
      <c r="AJ76" s="34">
        <f>IF(AN76=0,K76,0)</f>
        <v>0</v>
      </c>
      <c r="AK76" s="34">
        <f>IF(AN76=15,K76,0)</f>
        <v>0</v>
      </c>
      <c r="AL76" s="34">
        <f>IF(AN76=21,K76,0)</f>
        <v>0</v>
      </c>
      <c r="AN76" s="49">
        <v>21</v>
      </c>
      <c r="AO76" s="49">
        <f>H76*0.259447004608295</f>
        <v>0</v>
      </c>
      <c r="AP76" s="49">
        <f>H76*(1-0.259447004608295)</f>
        <v>0</v>
      </c>
      <c r="AQ76" s="45" t="s">
        <v>65</v>
      </c>
      <c r="AV76" s="49">
        <f>AW76+AX76</f>
        <v>0</v>
      </c>
      <c r="AW76" s="49">
        <f>G76*AO76</f>
        <v>0</v>
      </c>
      <c r="AX76" s="49">
        <f>G76*AP76</f>
        <v>0</v>
      </c>
      <c r="AY76" s="50" t="s">
        <v>331</v>
      </c>
      <c r="AZ76" s="50" t="s">
        <v>343</v>
      </c>
      <c r="BA76" s="46" t="s">
        <v>345</v>
      </c>
      <c r="BC76" s="49">
        <f>AW76+AX76</f>
        <v>0</v>
      </c>
      <c r="BD76" s="49">
        <f>H76/(100-BE76)*100</f>
        <v>0</v>
      </c>
      <c r="BE76" s="49">
        <v>0</v>
      </c>
      <c r="BF76" s="49">
        <f>76</f>
        <v>76</v>
      </c>
      <c r="BH76" s="34">
        <f>G76*AO76</f>
        <v>0</v>
      </c>
      <c r="BI76" s="34">
        <f>G76*AP76</f>
        <v>0</v>
      </c>
      <c r="BJ76" s="34">
        <f>G76*H76</f>
        <v>0</v>
      </c>
    </row>
    <row r="77" spans="1:62" ht="12.75">
      <c r="A77" s="24" t="s">
        <v>115</v>
      </c>
      <c r="B77" s="24" t="s">
        <v>186</v>
      </c>
      <c r="C77" s="115" t="s">
        <v>350</v>
      </c>
      <c r="D77" s="116"/>
      <c r="E77" s="116"/>
      <c r="F77" s="24" t="s">
        <v>298</v>
      </c>
      <c r="G77" s="34">
        <v>60</v>
      </c>
      <c r="H77" s="34">
        <v>0</v>
      </c>
      <c r="I77" s="34">
        <f>G77*AO77</f>
        <v>0</v>
      </c>
      <c r="J77" s="34">
        <f>G77*AP77</f>
        <v>0</v>
      </c>
      <c r="K77" s="34">
        <f>G77*H77</f>
        <v>0</v>
      </c>
      <c r="L77" s="45" t="s">
        <v>313</v>
      </c>
      <c r="Z77" s="49">
        <f>IF(AQ77="5",BJ77,0)</f>
        <v>0</v>
      </c>
      <c r="AB77" s="49">
        <f>IF(AQ77="1",BH77,0)</f>
        <v>0</v>
      </c>
      <c r="AC77" s="49">
        <f>IF(AQ77="1",BI77,0)</f>
        <v>0</v>
      </c>
      <c r="AD77" s="49">
        <f>IF(AQ77="7",BH77,0)</f>
        <v>0</v>
      </c>
      <c r="AE77" s="49">
        <f>IF(AQ77="7",BI77,0)</f>
        <v>0</v>
      </c>
      <c r="AF77" s="49">
        <f>IF(AQ77="2",BH77,0)</f>
        <v>0</v>
      </c>
      <c r="AG77" s="49">
        <f>IF(AQ77="2",BI77,0)</f>
        <v>0</v>
      </c>
      <c r="AH77" s="49">
        <f>IF(AQ77="0",BJ77,0)</f>
        <v>0</v>
      </c>
      <c r="AI77" s="46"/>
      <c r="AJ77" s="34">
        <f>IF(AN77=0,K77,0)</f>
        <v>0</v>
      </c>
      <c r="AK77" s="34">
        <f>IF(AN77=15,K77,0)</f>
        <v>0</v>
      </c>
      <c r="AL77" s="34">
        <f>IF(AN77=21,K77,0)</f>
        <v>0</v>
      </c>
      <c r="AN77" s="49">
        <v>21</v>
      </c>
      <c r="AO77" s="49">
        <f>H77*0.21545412057953</f>
        <v>0</v>
      </c>
      <c r="AP77" s="49">
        <f>H77*(1-0.21545412057953)</f>
        <v>0</v>
      </c>
      <c r="AQ77" s="45" t="s">
        <v>65</v>
      </c>
      <c r="AV77" s="49">
        <f>AW77+AX77</f>
        <v>0</v>
      </c>
      <c r="AW77" s="49">
        <f>G77*AO77</f>
        <v>0</v>
      </c>
      <c r="AX77" s="49">
        <f>G77*AP77</f>
        <v>0</v>
      </c>
      <c r="AY77" s="50" t="s">
        <v>331</v>
      </c>
      <c r="AZ77" s="50" t="s">
        <v>343</v>
      </c>
      <c r="BA77" s="46" t="s">
        <v>345</v>
      </c>
      <c r="BC77" s="49">
        <f>AW77+AX77</f>
        <v>0</v>
      </c>
      <c r="BD77" s="49">
        <f>H77/(100-BE77)*100</f>
        <v>0</v>
      </c>
      <c r="BE77" s="49">
        <v>0</v>
      </c>
      <c r="BF77" s="49">
        <f>77</f>
        <v>77</v>
      </c>
      <c r="BH77" s="34">
        <f>G77*AO77</f>
        <v>0</v>
      </c>
      <c r="BI77" s="34">
        <f>G77*AP77</f>
        <v>0</v>
      </c>
      <c r="BJ77" s="34">
        <f>G77*H77</f>
        <v>0</v>
      </c>
    </row>
    <row r="78" spans="1:47" ht="12.75">
      <c r="A78" s="25"/>
      <c r="B78" s="32" t="s">
        <v>187</v>
      </c>
      <c r="C78" s="119" t="s">
        <v>269</v>
      </c>
      <c r="D78" s="120"/>
      <c r="E78" s="120"/>
      <c r="F78" s="25" t="s">
        <v>58</v>
      </c>
      <c r="G78" s="25" t="s">
        <v>58</v>
      </c>
      <c r="H78" s="25" t="s">
        <v>58</v>
      </c>
      <c r="I78" s="52">
        <f>SUM(I79:I79)</f>
        <v>0</v>
      </c>
      <c r="J78" s="52">
        <f>SUM(J79:J79)</f>
        <v>0</v>
      </c>
      <c r="K78" s="52">
        <f>SUM(K79:K79)</f>
        <v>0</v>
      </c>
      <c r="L78" s="46"/>
      <c r="AI78" s="46"/>
      <c r="AS78" s="52">
        <f>SUM(AJ79:AJ79)</f>
        <v>0</v>
      </c>
      <c r="AT78" s="52">
        <f>SUM(AK79:AK79)</f>
        <v>0</v>
      </c>
      <c r="AU78" s="52">
        <f>SUM(AL79:AL79)</f>
        <v>0</v>
      </c>
    </row>
    <row r="79" spans="1:62" ht="12.75">
      <c r="A79" s="24" t="s">
        <v>116</v>
      </c>
      <c r="B79" s="24" t="s">
        <v>188</v>
      </c>
      <c r="C79" s="115" t="s">
        <v>270</v>
      </c>
      <c r="D79" s="116"/>
      <c r="E79" s="116"/>
      <c r="F79" s="24" t="s">
        <v>298</v>
      </c>
      <c r="G79" s="34">
        <v>3</v>
      </c>
      <c r="H79" s="34">
        <v>0</v>
      </c>
      <c r="I79" s="34">
        <f>G79*AO79</f>
        <v>0</v>
      </c>
      <c r="J79" s="34">
        <f>G79*AP79</f>
        <v>0</v>
      </c>
      <c r="K79" s="34">
        <f>G79*H79</f>
        <v>0</v>
      </c>
      <c r="L79" s="45" t="s">
        <v>313</v>
      </c>
      <c r="Z79" s="49">
        <f>IF(AQ79="5",BJ79,0)</f>
        <v>0</v>
      </c>
      <c r="AB79" s="49">
        <f>IF(AQ79="1",BH79,0)</f>
        <v>0</v>
      </c>
      <c r="AC79" s="49">
        <f>IF(AQ79="1",BI79,0)</f>
        <v>0</v>
      </c>
      <c r="AD79" s="49">
        <f>IF(AQ79="7",BH79,0)</f>
        <v>0</v>
      </c>
      <c r="AE79" s="49">
        <f>IF(AQ79="7",BI79,0)</f>
        <v>0</v>
      </c>
      <c r="AF79" s="49">
        <f>IF(AQ79="2",BH79,0)</f>
        <v>0</v>
      </c>
      <c r="AG79" s="49">
        <f>IF(AQ79="2",BI79,0)</f>
        <v>0</v>
      </c>
      <c r="AH79" s="49">
        <f>IF(AQ79="0",BJ79,0)</f>
        <v>0</v>
      </c>
      <c r="AI79" s="46"/>
      <c r="AJ79" s="34">
        <f>IF(AN79=0,K79,0)</f>
        <v>0</v>
      </c>
      <c r="AK79" s="34">
        <f>IF(AN79=15,K79,0)</f>
        <v>0</v>
      </c>
      <c r="AL79" s="34">
        <f>IF(AN79=21,K79,0)</f>
        <v>0</v>
      </c>
      <c r="AN79" s="49">
        <v>21</v>
      </c>
      <c r="AO79" s="49">
        <f>H79*0.346789667896679</f>
        <v>0</v>
      </c>
      <c r="AP79" s="49">
        <f>H79*(1-0.346789667896679)</f>
        <v>0</v>
      </c>
      <c r="AQ79" s="45" t="s">
        <v>59</v>
      </c>
      <c r="AV79" s="49">
        <f>AW79+AX79</f>
        <v>0</v>
      </c>
      <c r="AW79" s="49">
        <f>G79*AO79</f>
        <v>0</v>
      </c>
      <c r="AX79" s="49">
        <f>G79*AP79</f>
        <v>0</v>
      </c>
      <c r="AY79" s="50" t="s">
        <v>332</v>
      </c>
      <c r="AZ79" s="50" t="s">
        <v>344</v>
      </c>
      <c r="BA79" s="46" t="s">
        <v>345</v>
      </c>
      <c r="BC79" s="49">
        <f>AW79+AX79</f>
        <v>0</v>
      </c>
      <c r="BD79" s="49">
        <f>H79/(100-BE79)*100</f>
        <v>0</v>
      </c>
      <c r="BE79" s="49">
        <v>0</v>
      </c>
      <c r="BF79" s="49">
        <f>79</f>
        <v>79</v>
      </c>
      <c r="BH79" s="34">
        <f>G79*AO79</f>
        <v>0</v>
      </c>
      <c r="BI79" s="34">
        <f>G79*AP79</f>
        <v>0</v>
      </c>
      <c r="BJ79" s="34">
        <f>G79*H79</f>
        <v>0</v>
      </c>
    </row>
    <row r="80" spans="1:47" ht="12.75">
      <c r="A80" s="25"/>
      <c r="B80" s="32" t="s">
        <v>189</v>
      </c>
      <c r="C80" s="119" t="s">
        <v>271</v>
      </c>
      <c r="D80" s="120"/>
      <c r="E80" s="120"/>
      <c r="F80" s="25" t="s">
        <v>58</v>
      </c>
      <c r="G80" s="25" t="s">
        <v>58</v>
      </c>
      <c r="H80" s="25" t="s">
        <v>58</v>
      </c>
      <c r="I80" s="52">
        <f>SUM(I81:I82)</f>
        <v>0</v>
      </c>
      <c r="J80" s="52">
        <f>SUM(J81:J82)</f>
        <v>0</v>
      </c>
      <c r="K80" s="52">
        <f>SUM(K81:K82)</f>
        <v>0</v>
      </c>
      <c r="L80" s="46"/>
      <c r="AI80" s="46"/>
      <c r="AS80" s="52">
        <f>SUM(AJ81:AJ82)</f>
        <v>0</v>
      </c>
      <c r="AT80" s="52">
        <f>SUM(AK81:AK82)</f>
        <v>0</v>
      </c>
      <c r="AU80" s="52">
        <f>SUM(AL81:AL82)</f>
        <v>0</v>
      </c>
    </row>
    <row r="81" spans="1:62" ht="12.75">
      <c r="A81" s="24" t="s">
        <v>117</v>
      </c>
      <c r="B81" s="24" t="s">
        <v>190</v>
      </c>
      <c r="C81" s="115" t="s">
        <v>272</v>
      </c>
      <c r="D81" s="116"/>
      <c r="E81" s="116"/>
      <c r="F81" s="24" t="s">
        <v>302</v>
      </c>
      <c r="G81" s="34">
        <v>1</v>
      </c>
      <c r="H81" s="34">
        <v>0</v>
      </c>
      <c r="I81" s="34">
        <f>G81*AO81</f>
        <v>0</v>
      </c>
      <c r="J81" s="34">
        <f>G81*AP81</f>
        <v>0</v>
      </c>
      <c r="K81" s="34">
        <f>G81*H81</f>
        <v>0</v>
      </c>
      <c r="L81" s="45" t="s">
        <v>313</v>
      </c>
      <c r="Z81" s="49">
        <f>IF(AQ81="5",BJ81,0)</f>
        <v>0</v>
      </c>
      <c r="AB81" s="49">
        <f>IF(AQ81="1",BH81,0)</f>
        <v>0</v>
      </c>
      <c r="AC81" s="49">
        <f>IF(AQ81="1",BI81,0)</f>
        <v>0</v>
      </c>
      <c r="AD81" s="49">
        <f>IF(AQ81="7",BH81,0)</f>
        <v>0</v>
      </c>
      <c r="AE81" s="49">
        <f>IF(AQ81="7",BI81,0)</f>
        <v>0</v>
      </c>
      <c r="AF81" s="49">
        <f>IF(AQ81="2",BH81,0)</f>
        <v>0</v>
      </c>
      <c r="AG81" s="49">
        <f>IF(AQ81="2",BI81,0)</f>
        <v>0</v>
      </c>
      <c r="AH81" s="49">
        <f>IF(AQ81="0",BJ81,0)</f>
        <v>0</v>
      </c>
      <c r="AI81" s="46"/>
      <c r="AJ81" s="34">
        <f>IF(AN81=0,K81,0)</f>
        <v>0</v>
      </c>
      <c r="AK81" s="34">
        <f>IF(AN81=15,K81,0)</f>
        <v>0</v>
      </c>
      <c r="AL81" s="34">
        <f>IF(AN81=21,K81,0)</f>
        <v>0</v>
      </c>
      <c r="AN81" s="49">
        <v>21</v>
      </c>
      <c r="AO81" s="49">
        <f>H81*0.136028936829867</f>
        <v>0</v>
      </c>
      <c r="AP81" s="49">
        <f>H81*(1-0.136028936829867)</f>
        <v>0</v>
      </c>
      <c r="AQ81" s="45" t="s">
        <v>59</v>
      </c>
      <c r="AV81" s="49">
        <f>AW81+AX81</f>
        <v>0</v>
      </c>
      <c r="AW81" s="49">
        <f>G81*AO81</f>
        <v>0</v>
      </c>
      <c r="AX81" s="49">
        <f>G81*AP81</f>
        <v>0</v>
      </c>
      <c r="AY81" s="50" t="s">
        <v>333</v>
      </c>
      <c r="AZ81" s="50" t="s">
        <v>344</v>
      </c>
      <c r="BA81" s="46" t="s">
        <v>345</v>
      </c>
      <c r="BC81" s="49">
        <f>AW81+AX81</f>
        <v>0</v>
      </c>
      <c r="BD81" s="49">
        <f>H81/(100-BE81)*100</f>
        <v>0</v>
      </c>
      <c r="BE81" s="49">
        <v>0</v>
      </c>
      <c r="BF81" s="49">
        <f>81</f>
        <v>81</v>
      </c>
      <c r="BH81" s="34">
        <f>G81*AO81</f>
        <v>0</v>
      </c>
      <c r="BI81" s="34">
        <f>G81*AP81</f>
        <v>0</v>
      </c>
      <c r="BJ81" s="34">
        <f>G81*H81</f>
        <v>0</v>
      </c>
    </row>
    <row r="82" spans="1:62" ht="12.75">
      <c r="A82" s="26" t="s">
        <v>118</v>
      </c>
      <c r="B82" s="26" t="s">
        <v>191</v>
      </c>
      <c r="C82" s="121" t="s">
        <v>273</v>
      </c>
      <c r="D82" s="122"/>
      <c r="E82" s="122"/>
      <c r="F82" s="26" t="s">
        <v>302</v>
      </c>
      <c r="G82" s="35">
        <v>1</v>
      </c>
      <c r="H82" s="35">
        <v>0</v>
      </c>
      <c r="I82" s="35">
        <f>G82*AO82</f>
        <v>0</v>
      </c>
      <c r="J82" s="35">
        <f>G82*AP82</f>
        <v>0</v>
      </c>
      <c r="K82" s="35">
        <f>G82*H82</f>
        <v>0</v>
      </c>
      <c r="L82" s="47" t="s">
        <v>313</v>
      </c>
      <c r="Z82" s="49">
        <f>IF(AQ82="5",BJ82,0)</f>
        <v>0</v>
      </c>
      <c r="AB82" s="49">
        <f>IF(AQ82="1",BH82,0)</f>
        <v>0</v>
      </c>
      <c r="AC82" s="49">
        <f>IF(AQ82="1",BI82,0)</f>
        <v>0</v>
      </c>
      <c r="AD82" s="49">
        <f>IF(AQ82="7",BH82,0)</f>
        <v>0</v>
      </c>
      <c r="AE82" s="49">
        <f>IF(AQ82="7",BI82,0)</f>
        <v>0</v>
      </c>
      <c r="AF82" s="49">
        <f>IF(AQ82="2",BH82,0)</f>
        <v>0</v>
      </c>
      <c r="AG82" s="49">
        <f>IF(AQ82="2",BI82,0)</f>
        <v>0</v>
      </c>
      <c r="AH82" s="49">
        <f>IF(AQ82="0",BJ82,0)</f>
        <v>0</v>
      </c>
      <c r="AI82" s="46"/>
      <c r="AJ82" s="35">
        <f>IF(AN82=0,K82,0)</f>
        <v>0</v>
      </c>
      <c r="AK82" s="35">
        <f>IF(AN82=15,K82,0)</f>
        <v>0</v>
      </c>
      <c r="AL82" s="35">
        <f>IF(AN82=21,K82,0)</f>
        <v>0</v>
      </c>
      <c r="AN82" s="49">
        <v>21</v>
      </c>
      <c r="AO82" s="49">
        <f>H82*1</f>
        <v>0</v>
      </c>
      <c r="AP82" s="49">
        <f>H82*(1-1)</f>
        <v>0</v>
      </c>
      <c r="AQ82" s="47" t="s">
        <v>59</v>
      </c>
      <c r="AV82" s="49">
        <f>AW82+AX82</f>
        <v>0</v>
      </c>
      <c r="AW82" s="49">
        <f>G82*AO82</f>
        <v>0</v>
      </c>
      <c r="AX82" s="49">
        <f>G82*AP82</f>
        <v>0</v>
      </c>
      <c r="AY82" s="50" t="s">
        <v>333</v>
      </c>
      <c r="AZ82" s="50" t="s">
        <v>344</v>
      </c>
      <c r="BA82" s="46" t="s">
        <v>345</v>
      </c>
      <c r="BC82" s="49">
        <f>AW82+AX82</f>
        <v>0</v>
      </c>
      <c r="BD82" s="49">
        <f>H82/(100-BE82)*100</f>
        <v>0</v>
      </c>
      <c r="BE82" s="49">
        <v>0</v>
      </c>
      <c r="BF82" s="49">
        <f>82</f>
        <v>82</v>
      </c>
      <c r="BH82" s="35">
        <f>G82*AO82</f>
        <v>0</v>
      </c>
      <c r="BI82" s="35">
        <f>G82*AP82</f>
        <v>0</v>
      </c>
      <c r="BJ82" s="35">
        <f>G82*H82</f>
        <v>0</v>
      </c>
    </row>
    <row r="83" spans="1:47" ht="12.75">
      <c r="A83" s="25"/>
      <c r="B83" s="32" t="s">
        <v>192</v>
      </c>
      <c r="C83" s="119" t="s">
        <v>274</v>
      </c>
      <c r="D83" s="120"/>
      <c r="E83" s="120"/>
      <c r="F83" s="25" t="s">
        <v>58</v>
      </c>
      <c r="G83" s="25" t="s">
        <v>58</v>
      </c>
      <c r="H83" s="25" t="s">
        <v>58</v>
      </c>
      <c r="I83" s="52">
        <f>SUM(I84:I91)</f>
        <v>0</v>
      </c>
      <c r="J83" s="52">
        <f>SUM(J84:J91)</f>
        <v>0</v>
      </c>
      <c r="K83" s="52">
        <f>SUM(K84:K91)</f>
        <v>0</v>
      </c>
      <c r="L83" s="46"/>
      <c r="AI83" s="46"/>
      <c r="AS83" s="52">
        <f>SUM(AJ84:AJ91)</f>
        <v>0</v>
      </c>
      <c r="AT83" s="52">
        <f>SUM(AK84:AK91)</f>
        <v>0</v>
      </c>
      <c r="AU83" s="52">
        <f>SUM(AL84:AL91)</f>
        <v>0</v>
      </c>
    </row>
    <row r="84" spans="1:62" ht="12.75">
      <c r="A84" s="24" t="s">
        <v>119</v>
      </c>
      <c r="B84" s="24" t="s">
        <v>193</v>
      </c>
      <c r="C84" s="115" t="s">
        <v>275</v>
      </c>
      <c r="D84" s="116"/>
      <c r="E84" s="116"/>
      <c r="F84" s="24" t="s">
        <v>297</v>
      </c>
      <c r="G84" s="34">
        <v>4.2636</v>
      </c>
      <c r="H84" s="34">
        <v>0</v>
      </c>
      <c r="I84" s="34">
        <f aca="true" t="shared" si="88" ref="I84:I91">G84*AO84</f>
        <v>0</v>
      </c>
      <c r="J84" s="34">
        <f aca="true" t="shared" si="89" ref="J84:J91">G84*AP84</f>
        <v>0</v>
      </c>
      <c r="K84" s="34">
        <f aca="true" t="shared" si="90" ref="K84:K91">G84*H84</f>
        <v>0</v>
      </c>
      <c r="L84" s="45" t="s">
        <v>313</v>
      </c>
      <c r="Z84" s="49">
        <f aca="true" t="shared" si="91" ref="Z84:Z91">IF(AQ84="5",BJ84,0)</f>
        <v>0</v>
      </c>
      <c r="AB84" s="49">
        <f aca="true" t="shared" si="92" ref="AB84:AB91">IF(AQ84="1",BH84,0)</f>
        <v>0</v>
      </c>
      <c r="AC84" s="49">
        <f aca="true" t="shared" si="93" ref="AC84:AC91">IF(AQ84="1",BI84,0)</f>
        <v>0</v>
      </c>
      <c r="AD84" s="49">
        <f aca="true" t="shared" si="94" ref="AD84:AD91">IF(AQ84="7",BH84,0)</f>
        <v>0</v>
      </c>
      <c r="AE84" s="49">
        <f aca="true" t="shared" si="95" ref="AE84:AE91">IF(AQ84="7",BI84,0)</f>
        <v>0</v>
      </c>
      <c r="AF84" s="49">
        <f aca="true" t="shared" si="96" ref="AF84:AF91">IF(AQ84="2",BH84,0)</f>
        <v>0</v>
      </c>
      <c r="AG84" s="49">
        <f aca="true" t="shared" si="97" ref="AG84:AG91">IF(AQ84="2",BI84,0)</f>
        <v>0</v>
      </c>
      <c r="AH84" s="49">
        <f aca="true" t="shared" si="98" ref="AH84:AH91">IF(AQ84="0",BJ84,0)</f>
        <v>0</v>
      </c>
      <c r="AI84" s="46"/>
      <c r="AJ84" s="34">
        <f aca="true" t="shared" si="99" ref="AJ84:AJ91">IF(AN84=0,K84,0)</f>
        <v>0</v>
      </c>
      <c r="AK84" s="34">
        <f aca="true" t="shared" si="100" ref="AK84:AK91">IF(AN84=15,K84,0)</f>
        <v>0</v>
      </c>
      <c r="AL84" s="34">
        <f aca="true" t="shared" si="101" ref="AL84:AL91">IF(AN84=21,K84,0)</f>
        <v>0</v>
      </c>
      <c r="AN84" s="49">
        <v>21</v>
      </c>
      <c r="AO84" s="49">
        <f>H84*0</f>
        <v>0</v>
      </c>
      <c r="AP84" s="49">
        <f>H84*(1-0)</f>
        <v>0</v>
      </c>
      <c r="AQ84" s="45" t="s">
        <v>59</v>
      </c>
      <c r="AV84" s="49">
        <f aca="true" t="shared" si="102" ref="AV84:AV91">AW84+AX84</f>
        <v>0</v>
      </c>
      <c r="AW84" s="49">
        <f aca="true" t="shared" si="103" ref="AW84:AW91">G84*AO84</f>
        <v>0</v>
      </c>
      <c r="AX84" s="49">
        <f aca="true" t="shared" si="104" ref="AX84:AX91">G84*AP84</f>
        <v>0</v>
      </c>
      <c r="AY84" s="50" t="s">
        <v>334</v>
      </c>
      <c r="AZ84" s="50" t="s">
        <v>344</v>
      </c>
      <c r="BA84" s="46" t="s">
        <v>345</v>
      </c>
      <c r="BC84" s="49">
        <f aca="true" t="shared" si="105" ref="BC84:BC91">AW84+AX84</f>
        <v>0</v>
      </c>
      <c r="BD84" s="49">
        <f aca="true" t="shared" si="106" ref="BD84:BD91">H84/(100-BE84)*100</f>
        <v>0</v>
      </c>
      <c r="BE84" s="49">
        <v>0</v>
      </c>
      <c r="BF84" s="49">
        <f>84</f>
        <v>84</v>
      </c>
      <c r="BH84" s="34">
        <f aca="true" t="shared" si="107" ref="BH84:BH91">G84*AO84</f>
        <v>0</v>
      </c>
      <c r="BI84" s="34">
        <f aca="true" t="shared" si="108" ref="BI84:BI91">G84*AP84</f>
        <v>0</v>
      </c>
      <c r="BJ84" s="34">
        <f aca="true" t="shared" si="109" ref="BJ84:BJ91">G84*H84</f>
        <v>0</v>
      </c>
    </row>
    <row r="85" spans="1:62" ht="12.75">
      <c r="A85" s="24" t="s">
        <v>120</v>
      </c>
      <c r="B85" s="24" t="s">
        <v>194</v>
      </c>
      <c r="C85" s="115" t="s">
        <v>276</v>
      </c>
      <c r="D85" s="116"/>
      <c r="E85" s="116"/>
      <c r="F85" s="24" t="s">
        <v>297</v>
      </c>
      <c r="G85" s="34">
        <v>3.762</v>
      </c>
      <c r="H85" s="34">
        <v>0</v>
      </c>
      <c r="I85" s="34">
        <f t="shared" si="88"/>
        <v>0</v>
      </c>
      <c r="J85" s="34">
        <f t="shared" si="89"/>
        <v>0</v>
      </c>
      <c r="K85" s="34">
        <f t="shared" si="90"/>
        <v>0</v>
      </c>
      <c r="L85" s="45" t="s">
        <v>313</v>
      </c>
      <c r="Z85" s="49">
        <f t="shared" si="91"/>
        <v>0</v>
      </c>
      <c r="AB85" s="49">
        <f t="shared" si="92"/>
        <v>0</v>
      </c>
      <c r="AC85" s="49">
        <f t="shared" si="93"/>
        <v>0</v>
      </c>
      <c r="AD85" s="49">
        <f t="shared" si="94"/>
        <v>0</v>
      </c>
      <c r="AE85" s="49">
        <f t="shared" si="95"/>
        <v>0</v>
      </c>
      <c r="AF85" s="49">
        <f t="shared" si="96"/>
        <v>0</v>
      </c>
      <c r="AG85" s="49">
        <f t="shared" si="97"/>
        <v>0</v>
      </c>
      <c r="AH85" s="49">
        <f t="shared" si="98"/>
        <v>0</v>
      </c>
      <c r="AI85" s="46"/>
      <c r="AJ85" s="34">
        <f t="shared" si="99"/>
        <v>0</v>
      </c>
      <c r="AK85" s="34">
        <f t="shared" si="100"/>
        <v>0</v>
      </c>
      <c r="AL85" s="34">
        <f t="shared" si="101"/>
        <v>0</v>
      </c>
      <c r="AN85" s="49">
        <v>21</v>
      </c>
      <c r="AO85" s="49">
        <f>H85*0</f>
        <v>0</v>
      </c>
      <c r="AP85" s="49">
        <f>H85*(1-0)</f>
        <v>0</v>
      </c>
      <c r="AQ85" s="45" t="s">
        <v>59</v>
      </c>
      <c r="AV85" s="49">
        <f t="shared" si="102"/>
        <v>0</v>
      </c>
      <c r="AW85" s="49">
        <f t="shared" si="103"/>
        <v>0</v>
      </c>
      <c r="AX85" s="49">
        <f t="shared" si="104"/>
        <v>0</v>
      </c>
      <c r="AY85" s="50" t="s">
        <v>334</v>
      </c>
      <c r="AZ85" s="50" t="s">
        <v>344</v>
      </c>
      <c r="BA85" s="46" t="s">
        <v>345</v>
      </c>
      <c r="BC85" s="49">
        <f t="shared" si="105"/>
        <v>0</v>
      </c>
      <c r="BD85" s="49">
        <f t="shared" si="106"/>
        <v>0</v>
      </c>
      <c r="BE85" s="49">
        <v>0</v>
      </c>
      <c r="BF85" s="49">
        <f>85</f>
        <v>85</v>
      </c>
      <c r="BH85" s="34">
        <f t="shared" si="107"/>
        <v>0</v>
      </c>
      <c r="BI85" s="34">
        <f t="shared" si="108"/>
        <v>0</v>
      </c>
      <c r="BJ85" s="34">
        <f t="shared" si="109"/>
        <v>0</v>
      </c>
    </row>
    <row r="86" spans="1:62" ht="12.75">
      <c r="A86" s="24" t="s">
        <v>121</v>
      </c>
      <c r="B86" s="24" t="s">
        <v>195</v>
      </c>
      <c r="C86" s="115" t="s">
        <v>277</v>
      </c>
      <c r="D86" s="116"/>
      <c r="E86" s="116"/>
      <c r="F86" s="24" t="s">
        <v>298</v>
      </c>
      <c r="G86" s="34">
        <v>1.6</v>
      </c>
      <c r="H86" s="34">
        <v>0</v>
      </c>
      <c r="I86" s="34">
        <f t="shared" si="88"/>
        <v>0</v>
      </c>
      <c r="J86" s="34">
        <f t="shared" si="89"/>
        <v>0</v>
      </c>
      <c r="K86" s="34">
        <f t="shared" si="90"/>
        <v>0</v>
      </c>
      <c r="L86" s="45" t="s">
        <v>313</v>
      </c>
      <c r="Z86" s="49">
        <f t="shared" si="91"/>
        <v>0</v>
      </c>
      <c r="AB86" s="49">
        <f t="shared" si="92"/>
        <v>0</v>
      </c>
      <c r="AC86" s="49">
        <f t="shared" si="93"/>
        <v>0</v>
      </c>
      <c r="AD86" s="49">
        <f t="shared" si="94"/>
        <v>0</v>
      </c>
      <c r="AE86" s="49">
        <f t="shared" si="95"/>
        <v>0</v>
      </c>
      <c r="AF86" s="49">
        <f t="shared" si="96"/>
        <v>0</v>
      </c>
      <c r="AG86" s="49">
        <f t="shared" si="97"/>
        <v>0</v>
      </c>
      <c r="AH86" s="49">
        <f t="shared" si="98"/>
        <v>0</v>
      </c>
      <c r="AI86" s="46"/>
      <c r="AJ86" s="34">
        <f t="shared" si="99"/>
        <v>0</v>
      </c>
      <c r="AK86" s="34">
        <f t="shared" si="100"/>
        <v>0</v>
      </c>
      <c r="AL86" s="34">
        <f t="shared" si="101"/>
        <v>0</v>
      </c>
      <c r="AN86" s="49">
        <v>21</v>
      </c>
      <c r="AO86" s="49">
        <f>H86*0.0941538461538462</f>
        <v>0</v>
      </c>
      <c r="AP86" s="49">
        <f>H86*(1-0.0941538461538462)</f>
        <v>0</v>
      </c>
      <c r="AQ86" s="45" t="s">
        <v>59</v>
      </c>
      <c r="AV86" s="49">
        <f t="shared" si="102"/>
        <v>0</v>
      </c>
      <c r="AW86" s="49">
        <f t="shared" si="103"/>
        <v>0</v>
      </c>
      <c r="AX86" s="49">
        <f t="shared" si="104"/>
        <v>0</v>
      </c>
      <c r="AY86" s="50" t="s">
        <v>334</v>
      </c>
      <c r="AZ86" s="50" t="s">
        <v>344</v>
      </c>
      <c r="BA86" s="46" t="s">
        <v>345</v>
      </c>
      <c r="BC86" s="49">
        <f t="shared" si="105"/>
        <v>0</v>
      </c>
      <c r="BD86" s="49">
        <f t="shared" si="106"/>
        <v>0</v>
      </c>
      <c r="BE86" s="49">
        <v>0</v>
      </c>
      <c r="BF86" s="49">
        <f>86</f>
        <v>86</v>
      </c>
      <c r="BH86" s="34">
        <f t="shared" si="107"/>
        <v>0</v>
      </c>
      <c r="BI86" s="34">
        <f t="shared" si="108"/>
        <v>0</v>
      </c>
      <c r="BJ86" s="34">
        <f t="shared" si="109"/>
        <v>0</v>
      </c>
    </row>
    <row r="87" spans="1:62" ht="12.75">
      <c r="A87" s="24" t="s">
        <v>122</v>
      </c>
      <c r="B87" s="24" t="s">
        <v>196</v>
      </c>
      <c r="C87" s="115" t="s">
        <v>278</v>
      </c>
      <c r="D87" s="116"/>
      <c r="E87" s="116"/>
      <c r="F87" s="24" t="s">
        <v>298</v>
      </c>
      <c r="G87" s="34">
        <v>1.1664</v>
      </c>
      <c r="H87" s="34">
        <v>0</v>
      </c>
      <c r="I87" s="34">
        <f t="shared" si="88"/>
        <v>0</v>
      </c>
      <c r="J87" s="34">
        <f t="shared" si="89"/>
        <v>0</v>
      </c>
      <c r="K87" s="34">
        <f t="shared" si="90"/>
        <v>0</v>
      </c>
      <c r="L87" s="45" t="s">
        <v>313</v>
      </c>
      <c r="Z87" s="49">
        <f t="shared" si="91"/>
        <v>0</v>
      </c>
      <c r="AB87" s="49">
        <f t="shared" si="92"/>
        <v>0</v>
      </c>
      <c r="AC87" s="49">
        <f t="shared" si="93"/>
        <v>0</v>
      </c>
      <c r="AD87" s="49">
        <f t="shared" si="94"/>
        <v>0</v>
      </c>
      <c r="AE87" s="49">
        <f t="shared" si="95"/>
        <v>0</v>
      </c>
      <c r="AF87" s="49">
        <f t="shared" si="96"/>
        <v>0</v>
      </c>
      <c r="AG87" s="49">
        <f t="shared" si="97"/>
        <v>0</v>
      </c>
      <c r="AH87" s="49">
        <f t="shared" si="98"/>
        <v>0</v>
      </c>
      <c r="AI87" s="46"/>
      <c r="AJ87" s="34">
        <f t="shared" si="99"/>
        <v>0</v>
      </c>
      <c r="AK87" s="34">
        <f t="shared" si="100"/>
        <v>0</v>
      </c>
      <c r="AL87" s="34">
        <f t="shared" si="101"/>
        <v>0</v>
      </c>
      <c r="AN87" s="49">
        <v>21</v>
      </c>
      <c r="AO87" s="49">
        <f>H87*0.0708825482887157</f>
        <v>0</v>
      </c>
      <c r="AP87" s="49">
        <f>H87*(1-0.0708825482887157)</f>
        <v>0</v>
      </c>
      <c r="AQ87" s="45" t="s">
        <v>59</v>
      </c>
      <c r="AV87" s="49">
        <f t="shared" si="102"/>
        <v>0</v>
      </c>
      <c r="AW87" s="49">
        <f t="shared" si="103"/>
        <v>0</v>
      </c>
      <c r="AX87" s="49">
        <f t="shared" si="104"/>
        <v>0</v>
      </c>
      <c r="AY87" s="50" t="s">
        <v>334</v>
      </c>
      <c r="AZ87" s="50" t="s">
        <v>344</v>
      </c>
      <c r="BA87" s="46" t="s">
        <v>345</v>
      </c>
      <c r="BC87" s="49">
        <f t="shared" si="105"/>
        <v>0</v>
      </c>
      <c r="BD87" s="49">
        <f t="shared" si="106"/>
        <v>0</v>
      </c>
      <c r="BE87" s="49">
        <v>0</v>
      </c>
      <c r="BF87" s="49">
        <f>87</f>
        <v>87</v>
      </c>
      <c r="BH87" s="34">
        <f t="shared" si="107"/>
        <v>0</v>
      </c>
      <c r="BI87" s="34">
        <f t="shared" si="108"/>
        <v>0</v>
      </c>
      <c r="BJ87" s="34">
        <f t="shared" si="109"/>
        <v>0</v>
      </c>
    </row>
    <row r="88" spans="1:62" ht="12.75">
      <c r="A88" s="24" t="s">
        <v>123</v>
      </c>
      <c r="B88" s="24" t="s">
        <v>197</v>
      </c>
      <c r="C88" s="115" t="s">
        <v>279</v>
      </c>
      <c r="D88" s="116"/>
      <c r="E88" s="116"/>
      <c r="F88" s="24" t="s">
        <v>302</v>
      </c>
      <c r="G88" s="34">
        <v>2</v>
      </c>
      <c r="H88" s="34">
        <v>0</v>
      </c>
      <c r="I88" s="34">
        <f t="shared" si="88"/>
        <v>0</v>
      </c>
      <c r="J88" s="34">
        <f t="shared" si="89"/>
        <v>0</v>
      </c>
      <c r="K88" s="34">
        <f t="shared" si="90"/>
        <v>0</v>
      </c>
      <c r="L88" s="45" t="s">
        <v>313</v>
      </c>
      <c r="Z88" s="49">
        <f t="shared" si="91"/>
        <v>0</v>
      </c>
      <c r="AB88" s="49">
        <f t="shared" si="92"/>
        <v>0</v>
      </c>
      <c r="AC88" s="49">
        <f t="shared" si="93"/>
        <v>0</v>
      </c>
      <c r="AD88" s="49">
        <f t="shared" si="94"/>
        <v>0</v>
      </c>
      <c r="AE88" s="49">
        <f t="shared" si="95"/>
        <v>0</v>
      </c>
      <c r="AF88" s="49">
        <f t="shared" si="96"/>
        <v>0</v>
      </c>
      <c r="AG88" s="49">
        <f t="shared" si="97"/>
        <v>0</v>
      </c>
      <c r="AH88" s="49">
        <f t="shared" si="98"/>
        <v>0</v>
      </c>
      <c r="AI88" s="46"/>
      <c r="AJ88" s="34">
        <f t="shared" si="99"/>
        <v>0</v>
      </c>
      <c r="AK88" s="34">
        <f t="shared" si="100"/>
        <v>0</v>
      </c>
      <c r="AL88" s="34">
        <f t="shared" si="101"/>
        <v>0</v>
      </c>
      <c r="AN88" s="49">
        <v>21</v>
      </c>
      <c r="AO88" s="49">
        <f>H88*0</f>
        <v>0</v>
      </c>
      <c r="AP88" s="49">
        <f>H88*(1-0)</f>
        <v>0</v>
      </c>
      <c r="AQ88" s="45" t="s">
        <v>59</v>
      </c>
      <c r="AV88" s="49">
        <f t="shared" si="102"/>
        <v>0</v>
      </c>
      <c r="AW88" s="49">
        <f t="shared" si="103"/>
        <v>0</v>
      </c>
      <c r="AX88" s="49">
        <f t="shared" si="104"/>
        <v>0</v>
      </c>
      <c r="AY88" s="50" t="s">
        <v>334</v>
      </c>
      <c r="AZ88" s="50" t="s">
        <v>344</v>
      </c>
      <c r="BA88" s="46" t="s">
        <v>345</v>
      </c>
      <c r="BC88" s="49">
        <f t="shared" si="105"/>
        <v>0</v>
      </c>
      <c r="BD88" s="49">
        <f t="shared" si="106"/>
        <v>0</v>
      </c>
      <c r="BE88" s="49">
        <v>0</v>
      </c>
      <c r="BF88" s="49">
        <f>88</f>
        <v>88</v>
      </c>
      <c r="BH88" s="34">
        <f t="shared" si="107"/>
        <v>0</v>
      </c>
      <c r="BI88" s="34">
        <f t="shared" si="108"/>
        <v>0</v>
      </c>
      <c r="BJ88" s="34">
        <f t="shared" si="109"/>
        <v>0</v>
      </c>
    </row>
    <row r="89" spans="1:62" ht="12.75">
      <c r="A89" s="24" t="s">
        <v>124</v>
      </c>
      <c r="B89" s="24" t="s">
        <v>198</v>
      </c>
      <c r="C89" s="115" t="s">
        <v>280</v>
      </c>
      <c r="D89" s="116"/>
      <c r="E89" s="116"/>
      <c r="F89" s="24" t="s">
        <v>298</v>
      </c>
      <c r="G89" s="34">
        <v>22.8</v>
      </c>
      <c r="H89" s="34">
        <v>0</v>
      </c>
      <c r="I89" s="34">
        <f t="shared" si="88"/>
        <v>0</v>
      </c>
      <c r="J89" s="34">
        <f t="shared" si="89"/>
        <v>0</v>
      </c>
      <c r="K89" s="34">
        <f t="shared" si="90"/>
        <v>0</v>
      </c>
      <c r="L89" s="45" t="s">
        <v>313</v>
      </c>
      <c r="Z89" s="49">
        <f t="shared" si="91"/>
        <v>0</v>
      </c>
      <c r="AB89" s="49">
        <f t="shared" si="92"/>
        <v>0</v>
      </c>
      <c r="AC89" s="49">
        <f t="shared" si="93"/>
        <v>0</v>
      </c>
      <c r="AD89" s="49">
        <f t="shared" si="94"/>
        <v>0</v>
      </c>
      <c r="AE89" s="49">
        <f t="shared" si="95"/>
        <v>0</v>
      </c>
      <c r="AF89" s="49">
        <f t="shared" si="96"/>
        <v>0</v>
      </c>
      <c r="AG89" s="49">
        <f t="shared" si="97"/>
        <v>0</v>
      </c>
      <c r="AH89" s="49">
        <f t="shared" si="98"/>
        <v>0</v>
      </c>
      <c r="AI89" s="46"/>
      <c r="AJ89" s="34">
        <f t="shared" si="99"/>
        <v>0</v>
      </c>
      <c r="AK89" s="34">
        <f t="shared" si="100"/>
        <v>0</v>
      </c>
      <c r="AL89" s="34">
        <f t="shared" si="101"/>
        <v>0</v>
      </c>
      <c r="AN89" s="49">
        <v>21</v>
      </c>
      <c r="AO89" s="49">
        <f>H89*0.0118672199170124</f>
        <v>0</v>
      </c>
      <c r="AP89" s="49">
        <f>H89*(1-0.0118672199170124)</f>
        <v>0</v>
      </c>
      <c r="AQ89" s="45" t="s">
        <v>59</v>
      </c>
      <c r="AV89" s="49">
        <f t="shared" si="102"/>
        <v>0</v>
      </c>
      <c r="AW89" s="49">
        <f t="shared" si="103"/>
        <v>0</v>
      </c>
      <c r="AX89" s="49">
        <f t="shared" si="104"/>
        <v>0</v>
      </c>
      <c r="AY89" s="50" t="s">
        <v>334</v>
      </c>
      <c r="AZ89" s="50" t="s">
        <v>344</v>
      </c>
      <c r="BA89" s="46" t="s">
        <v>345</v>
      </c>
      <c r="BC89" s="49">
        <f t="shared" si="105"/>
        <v>0</v>
      </c>
      <c r="BD89" s="49">
        <f t="shared" si="106"/>
        <v>0</v>
      </c>
      <c r="BE89" s="49">
        <v>0</v>
      </c>
      <c r="BF89" s="49">
        <f>89</f>
        <v>89</v>
      </c>
      <c r="BH89" s="34">
        <f t="shared" si="107"/>
        <v>0</v>
      </c>
      <c r="BI89" s="34">
        <f t="shared" si="108"/>
        <v>0</v>
      </c>
      <c r="BJ89" s="34">
        <f t="shared" si="109"/>
        <v>0</v>
      </c>
    </row>
    <row r="90" spans="1:62" ht="12.75">
      <c r="A90" s="24" t="s">
        <v>125</v>
      </c>
      <c r="B90" s="24" t="s">
        <v>199</v>
      </c>
      <c r="C90" s="115" t="s">
        <v>281</v>
      </c>
      <c r="D90" s="116"/>
      <c r="E90" s="116"/>
      <c r="F90" s="24" t="s">
        <v>299</v>
      </c>
      <c r="G90" s="34">
        <v>15.24912</v>
      </c>
      <c r="H90" s="34">
        <v>0</v>
      </c>
      <c r="I90" s="34">
        <f t="shared" si="88"/>
        <v>0</v>
      </c>
      <c r="J90" s="34">
        <f t="shared" si="89"/>
        <v>0</v>
      </c>
      <c r="K90" s="34">
        <f t="shared" si="90"/>
        <v>0</v>
      </c>
      <c r="L90" s="45" t="s">
        <v>313</v>
      </c>
      <c r="Z90" s="49">
        <f t="shared" si="91"/>
        <v>0</v>
      </c>
      <c r="AB90" s="49">
        <f t="shared" si="92"/>
        <v>0</v>
      </c>
      <c r="AC90" s="49">
        <f t="shared" si="93"/>
        <v>0</v>
      </c>
      <c r="AD90" s="49">
        <f t="shared" si="94"/>
        <v>0</v>
      </c>
      <c r="AE90" s="49">
        <f t="shared" si="95"/>
        <v>0</v>
      </c>
      <c r="AF90" s="49">
        <f t="shared" si="96"/>
        <v>0</v>
      </c>
      <c r="AG90" s="49">
        <f t="shared" si="97"/>
        <v>0</v>
      </c>
      <c r="AH90" s="49">
        <f t="shared" si="98"/>
        <v>0</v>
      </c>
      <c r="AI90" s="46"/>
      <c r="AJ90" s="34">
        <f t="shared" si="99"/>
        <v>0</v>
      </c>
      <c r="AK90" s="34">
        <f t="shared" si="100"/>
        <v>0</v>
      </c>
      <c r="AL90" s="34">
        <f t="shared" si="101"/>
        <v>0</v>
      </c>
      <c r="AN90" s="49">
        <v>21</v>
      </c>
      <c r="AO90" s="49">
        <f>H90*0</f>
        <v>0</v>
      </c>
      <c r="AP90" s="49">
        <f>H90*(1-0)</f>
        <v>0</v>
      </c>
      <c r="AQ90" s="45" t="s">
        <v>63</v>
      </c>
      <c r="AV90" s="49">
        <f t="shared" si="102"/>
        <v>0</v>
      </c>
      <c r="AW90" s="49">
        <f t="shared" si="103"/>
        <v>0</v>
      </c>
      <c r="AX90" s="49">
        <f t="shared" si="104"/>
        <v>0</v>
      </c>
      <c r="AY90" s="50" t="s">
        <v>334</v>
      </c>
      <c r="AZ90" s="50" t="s">
        <v>344</v>
      </c>
      <c r="BA90" s="46" t="s">
        <v>345</v>
      </c>
      <c r="BC90" s="49">
        <f t="shared" si="105"/>
        <v>0</v>
      </c>
      <c r="BD90" s="49">
        <f t="shared" si="106"/>
        <v>0</v>
      </c>
      <c r="BE90" s="49">
        <v>0</v>
      </c>
      <c r="BF90" s="49">
        <f>90</f>
        <v>90</v>
      </c>
      <c r="BH90" s="34">
        <f t="shared" si="107"/>
        <v>0</v>
      </c>
      <c r="BI90" s="34">
        <f t="shared" si="108"/>
        <v>0</v>
      </c>
      <c r="BJ90" s="34">
        <f t="shared" si="109"/>
        <v>0</v>
      </c>
    </row>
    <row r="91" spans="1:62" ht="12.75">
      <c r="A91" s="24" t="s">
        <v>126</v>
      </c>
      <c r="B91" s="24" t="s">
        <v>150</v>
      </c>
      <c r="C91" s="115" t="s">
        <v>226</v>
      </c>
      <c r="D91" s="116"/>
      <c r="E91" s="116"/>
      <c r="F91" s="24" t="s">
        <v>299</v>
      </c>
      <c r="G91" s="34">
        <v>15.24912</v>
      </c>
      <c r="H91" s="34">
        <v>0</v>
      </c>
      <c r="I91" s="34">
        <f t="shared" si="88"/>
        <v>0</v>
      </c>
      <c r="J91" s="34">
        <f t="shared" si="89"/>
        <v>0</v>
      </c>
      <c r="K91" s="34">
        <f t="shared" si="90"/>
        <v>0</v>
      </c>
      <c r="L91" s="45" t="s">
        <v>313</v>
      </c>
      <c r="Z91" s="49">
        <f t="shared" si="91"/>
        <v>0</v>
      </c>
      <c r="AB91" s="49">
        <f t="shared" si="92"/>
        <v>0</v>
      </c>
      <c r="AC91" s="49">
        <f t="shared" si="93"/>
        <v>0</v>
      </c>
      <c r="AD91" s="49">
        <f t="shared" si="94"/>
        <v>0</v>
      </c>
      <c r="AE91" s="49">
        <f t="shared" si="95"/>
        <v>0</v>
      </c>
      <c r="AF91" s="49">
        <f t="shared" si="96"/>
        <v>0</v>
      </c>
      <c r="AG91" s="49">
        <f t="shared" si="97"/>
        <v>0</v>
      </c>
      <c r="AH91" s="49">
        <f t="shared" si="98"/>
        <v>0</v>
      </c>
      <c r="AI91" s="46"/>
      <c r="AJ91" s="34">
        <f t="shared" si="99"/>
        <v>0</v>
      </c>
      <c r="AK91" s="34">
        <f t="shared" si="100"/>
        <v>0</v>
      </c>
      <c r="AL91" s="34">
        <f t="shared" si="101"/>
        <v>0</v>
      </c>
      <c r="AN91" s="49">
        <v>21</v>
      </c>
      <c r="AO91" s="49">
        <f>H91*0</f>
        <v>0</v>
      </c>
      <c r="AP91" s="49">
        <f>H91*(1-0)</f>
        <v>0</v>
      </c>
      <c r="AQ91" s="45" t="s">
        <v>63</v>
      </c>
      <c r="AV91" s="49">
        <f t="shared" si="102"/>
        <v>0</v>
      </c>
      <c r="AW91" s="49">
        <f t="shared" si="103"/>
        <v>0</v>
      </c>
      <c r="AX91" s="49">
        <f t="shared" si="104"/>
        <v>0</v>
      </c>
      <c r="AY91" s="50" t="s">
        <v>334</v>
      </c>
      <c r="AZ91" s="50" t="s">
        <v>344</v>
      </c>
      <c r="BA91" s="46" t="s">
        <v>345</v>
      </c>
      <c r="BC91" s="49">
        <f t="shared" si="105"/>
        <v>0</v>
      </c>
      <c r="BD91" s="49">
        <f t="shared" si="106"/>
        <v>0</v>
      </c>
      <c r="BE91" s="49">
        <v>0</v>
      </c>
      <c r="BF91" s="49">
        <f>91</f>
        <v>91</v>
      </c>
      <c r="BH91" s="34">
        <f t="shared" si="107"/>
        <v>0</v>
      </c>
      <c r="BI91" s="34">
        <f t="shared" si="108"/>
        <v>0</v>
      </c>
      <c r="BJ91" s="34">
        <f t="shared" si="109"/>
        <v>0</v>
      </c>
    </row>
    <row r="92" spans="1:47" ht="12.75">
      <c r="A92" s="25"/>
      <c r="B92" s="32" t="s">
        <v>200</v>
      </c>
      <c r="C92" s="119" t="s">
        <v>282</v>
      </c>
      <c r="D92" s="120"/>
      <c r="E92" s="120"/>
      <c r="F92" s="25" t="s">
        <v>58</v>
      </c>
      <c r="G92" s="25" t="s">
        <v>58</v>
      </c>
      <c r="H92" s="25" t="s">
        <v>58</v>
      </c>
      <c r="I92" s="52">
        <f>SUM(I93:I98)</f>
        <v>0</v>
      </c>
      <c r="J92" s="52">
        <f>SUM(J93:J98)</f>
        <v>0</v>
      </c>
      <c r="K92" s="52">
        <f>SUM(K93:K98)</f>
        <v>0</v>
      </c>
      <c r="L92" s="46"/>
      <c r="AI92" s="46"/>
      <c r="AS92" s="52">
        <f>SUM(AJ93:AJ98)</f>
        <v>0</v>
      </c>
      <c r="AT92" s="52">
        <f>SUM(AK93:AK98)</f>
        <v>0</v>
      </c>
      <c r="AU92" s="52">
        <f>SUM(AL93:AL98)</f>
        <v>0</v>
      </c>
    </row>
    <row r="93" spans="1:62" ht="12.75">
      <c r="A93" s="24" t="s">
        <v>127</v>
      </c>
      <c r="B93" s="24" t="s">
        <v>201</v>
      </c>
      <c r="C93" s="115" t="s">
        <v>283</v>
      </c>
      <c r="D93" s="116"/>
      <c r="E93" s="116"/>
      <c r="F93" s="24" t="s">
        <v>298</v>
      </c>
      <c r="G93" s="34">
        <v>55.404</v>
      </c>
      <c r="H93" s="34">
        <v>0</v>
      </c>
      <c r="I93" s="34">
        <f aca="true" t="shared" si="110" ref="I93:I98">G93*AO93</f>
        <v>0</v>
      </c>
      <c r="J93" s="34">
        <f aca="true" t="shared" si="111" ref="J93:J98">G93*AP93</f>
        <v>0</v>
      </c>
      <c r="K93" s="34">
        <f aca="true" t="shared" si="112" ref="K93:K98">G93*H93</f>
        <v>0</v>
      </c>
      <c r="L93" s="45" t="s">
        <v>313</v>
      </c>
      <c r="Z93" s="49">
        <f aca="true" t="shared" si="113" ref="Z93:Z98">IF(AQ93="5",BJ93,0)</f>
        <v>0</v>
      </c>
      <c r="AB93" s="49">
        <f aca="true" t="shared" si="114" ref="AB93:AB98">IF(AQ93="1",BH93,0)</f>
        <v>0</v>
      </c>
      <c r="AC93" s="49">
        <f aca="true" t="shared" si="115" ref="AC93:AC98">IF(AQ93="1",BI93,0)</f>
        <v>0</v>
      </c>
      <c r="AD93" s="49">
        <f aca="true" t="shared" si="116" ref="AD93:AD98">IF(AQ93="7",BH93,0)</f>
        <v>0</v>
      </c>
      <c r="AE93" s="49">
        <f aca="true" t="shared" si="117" ref="AE93:AE98">IF(AQ93="7",BI93,0)</f>
        <v>0</v>
      </c>
      <c r="AF93" s="49">
        <f aca="true" t="shared" si="118" ref="AF93:AF98">IF(AQ93="2",BH93,0)</f>
        <v>0</v>
      </c>
      <c r="AG93" s="49">
        <f aca="true" t="shared" si="119" ref="AG93:AG98">IF(AQ93="2",BI93,0)</f>
        <v>0</v>
      </c>
      <c r="AH93" s="49">
        <f aca="true" t="shared" si="120" ref="AH93:AH98">IF(AQ93="0",BJ93,0)</f>
        <v>0</v>
      </c>
      <c r="AI93" s="46"/>
      <c r="AJ93" s="34">
        <f aca="true" t="shared" si="121" ref="AJ93:AJ98">IF(AN93=0,K93,0)</f>
        <v>0</v>
      </c>
      <c r="AK93" s="34">
        <f aca="true" t="shared" si="122" ref="AK93:AK98">IF(AN93=15,K93,0)</f>
        <v>0</v>
      </c>
      <c r="AL93" s="34">
        <f aca="true" t="shared" si="123" ref="AL93:AL98">IF(AN93=21,K93,0)</f>
        <v>0</v>
      </c>
      <c r="AN93" s="49">
        <v>21</v>
      </c>
      <c r="AO93" s="49">
        <f aca="true" t="shared" si="124" ref="AO93:AO98">H93*0</f>
        <v>0</v>
      </c>
      <c r="AP93" s="49">
        <f aca="true" t="shared" si="125" ref="AP93:AP98">H93*(1-0)</f>
        <v>0</v>
      </c>
      <c r="AQ93" s="45" t="s">
        <v>59</v>
      </c>
      <c r="AV93" s="49">
        <f aca="true" t="shared" si="126" ref="AV93:AV98">AW93+AX93</f>
        <v>0</v>
      </c>
      <c r="AW93" s="49">
        <f aca="true" t="shared" si="127" ref="AW93:AW98">G93*AO93</f>
        <v>0</v>
      </c>
      <c r="AX93" s="49">
        <f aca="true" t="shared" si="128" ref="AX93:AX98">G93*AP93</f>
        <v>0</v>
      </c>
      <c r="AY93" s="50" t="s">
        <v>335</v>
      </c>
      <c r="AZ93" s="50" t="s">
        <v>344</v>
      </c>
      <c r="BA93" s="46" t="s">
        <v>345</v>
      </c>
      <c r="BC93" s="49">
        <f aca="true" t="shared" si="129" ref="BC93:BC98">AW93+AX93</f>
        <v>0</v>
      </c>
      <c r="BD93" s="49">
        <f aca="true" t="shared" si="130" ref="BD93:BD98">H93/(100-BE93)*100</f>
        <v>0</v>
      </c>
      <c r="BE93" s="49">
        <v>0</v>
      </c>
      <c r="BF93" s="49">
        <f>93</f>
        <v>93</v>
      </c>
      <c r="BH93" s="34">
        <f aca="true" t="shared" si="131" ref="BH93:BH98">G93*AO93</f>
        <v>0</v>
      </c>
      <c r="BI93" s="34">
        <f aca="true" t="shared" si="132" ref="BI93:BI98">G93*AP93</f>
        <v>0</v>
      </c>
      <c r="BJ93" s="34">
        <f aca="true" t="shared" si="133" ref="BJ93:BJ98">G93*H93</f>
        <v>0</v>
      </c>
    </row>
    <row r="94" spans="1:62" ht="12.75">
      <c r="A94" s="24" t="s">
        <v>128</v>
      </c>
      <c r="B94" s="24" t="s">
        <v>202</v>
      </c>
      <c r="C94" s="115" t="s">
        <v>284</v>
      </c>
      <c r="D94" s="116"/>
      <c r="E94" s="116"/>
      <c r="F94" s="24" t="s">
        <v>298</v>
      </c>
      <c r="G94" s="34">
        <v>29.64</v>
      </c>
      <c r="H94" s="34">
        <v>0</v>
      </c>
      <c r="I94" s="34">
        <f t="shared" si="110"/>
        <v>0</v>
      </c>
      <c r="J94" s="34">
        <f t="shared" si="111"/>
        <v>0</v>
      </c>
      <c r="K94" s="34">
        <f t="shared" si="112"/>
        <v>0</v>
      </c>
      <c r="L94" s="45" t="s">
        <v>313</v>
      </c>
      <c r="Z94" s="49">
        <f t="shared" si="113"/>
        <v>0</v>
      </c>
      <c r="AB94" s="49">
        <f t="shared" si="114"/>
        <v>0</v>
      </c>
      <c r="AC94" s="49">
        <f t="shared" si="115"/>
        <v>0</v>
      </c>
      <c r="AD94" s="49">
        <f t="shared" si="116"/>
        <v>0</v>
      </c>
      <c r="AE94" s="49">
        <f t="shared" si="117"/>
        <v>0</v>
      </c>
      <c r="AF94" s="49">
        <f t="shared" si="118"/>
        <v>0</v>
      </c>
      <c r="AG94" s="49">
        <f t="shared" si="119"/>
        <v>0</v>
      </c>
      <c r="AH94" s="49">
        <f t="shared" si="120"/>
        <v>0</v>
      </c>
      <c r="AI94" s="46"/>
      <c r="AJ94" s="34">
        <f t="shared" si="121"/>
        <v>0</v>
      </c>
      <c r="AK94" s="34">
        <f t="shared" si="122"/>
        <v>0</v>
      </c>
      <c r="AL94" s="34">
        <f t="shared" si="123"/>
        <v>0</v>
      </c>
      <c r="AN94" s="49">
        <v>21</v>
      </c>
      <c r="AO94" s="49">
        <f t="shared" si="124"/>
        <v>0</v>
      </c>
      <c r="AP94" s="49">
        <f t="shared" si="125"/>
        <v>0</v>
      </c>
      <c r="AQ94" s="45" t="s">
        <v>59</v>
      </c>
      <c r="AV94" s="49">
        <f t="shared" si="126"/>
        <v>0</v>
      </c>
      <c r="AW94" s="49">
        <f t="shared" si="127"/>
        <v>0</v>
      </c>
      <c r="AX94" s="49">
        <f t="shared" si="128"/>
        <v>0</v>
      </c>
      <c r="AY94" s="50" t="s">
        <v>335</v>
      </c>
      <c r="AZ94" s="50" t="s">
        <v>344</v>
      </c>
      <c r="BA94" s="46" t="s">
        <v>345</v>
      </c>
      <c r="BC94" s="49">
        <f t="shared" si="129"/>
        <v>0</v>
      </c>
      <c r="BD94" s="49">
        <f t="shared" si="130"/>
        <v>0</v>
      </c>
      <c r="BE94" s="49">
        <v>0</v>
      </c>
      <c r="BF94" s="49">
        <f>94</f>
        <v>94</v>
      </c>
      <c r="BH94" s="34">
        <f t="shared" si="131"/>
        <v>0</v>
      </c>
      <c r="BI94" s="34">
        <f t="shared" si="132"/>
        <v>0</v>
      </c>
      <c r="BJ94" s="34">
        <f t="shared" si="133"/>
        <v>0</v>
      </c>
    </row>
    <row r="95" spans="1:62" ht="12.75">
      <c r="A95" s="24" t="s">
        <v>129</v>
      </c>
      <c r="B95" s="24" t="s">
        <v>203</v>
      </c>
      <c r="C95" s="115" t="s">
        <v>285</v>
      </c>
      <c r="D95" s="116"/>
      <c r="E95" s="116"/>
      <c r="F95" s="24" t="s">
        <v>298</v>
      </c>
      <c r="G95" s="34">
        <v>85.044</v>
      </c>
      <c r="H95" s="34">
        <v>0</v>
      </c>
      <c r="I95" s="34">
        <f t="shared" si="110"/>
        <v>0</v>
      </c>
      <c r="J95" s="34">
        <f t="shared" si="111"/>
        <v>0</v>
      </c>
      <c r="K95" s="34">
        <f t="shared" si="112"/>
        <v>0</v>
      </c>
      <c r="L95" s="45" t="s">
        <v>313</v>
      </c>
      <c r="Z95" s="49">
        <f t="shared" si="113"/>
        <v>0</v>
      </c>
      <c r="AB95" s="49">
        <f t="shared" si="114"/>
        <v>0</v>
      </c>
      <c r="AC95" s="49">
        <f t="shared" si="115"/>
        <v>0</v>
      </c>
      <c r="AD95" s="49">
        <f t="shared" si="116"/>
        <v>0</v>
      </c>
      <c r="AE95" s="49">
        <f t="shared" si="117"/>
        <v>0</v>
      </c>
      <c r="AF95" s="49">
        <f t="shared" si="118"/>
        <v>0</v>
      </c>
      <c r="AG95" s="49">
        <f t="shared" si="119"/>
        <v>0</v>
      </c>
      <c r="AH95" s="49">
        <f t="shared" si="120"/>
        <v>0</v>
      </c>
      <c r="AI95" s="46"/>
      <c r="AJ95" s="34">
        <f t="shared" si="121"/>
        <v>0</v>
      </c>
      <c r="AK95" s="34">
        <f t="shared" si="122"/>
        <v>0</v>
      </c>
      <c r="AL95" s="34">
        <f t="shared" si="123"/>
        <v>0</v>
      </c>
      <c r="AN95" s="49">
        <v>21</v>
      </c>
      <c r="AO95" s="49">
        <f t="shared" si="124"/>
        <v>0</v>
      </c>
      <c r="AP95" s="49">
        <f t="shared" si="125"/>
        <v>0</v>
      </c>
      <c r="AQ95" s="45" t="s">
        <v>59</v>
      </c>
      <c r="AV95" s="49">
        <f t="shared" si="126"/>
        <v>0</v>
      </c>
      <c r="AW95" s="49">
        <f t="shared" si="127"/>
        <v>0</v>
      </c>
      <c r="AX95" s="49">
        <f t="shared" si="128"/>
        <v>0</v>
      </c>
      <c r="AY95" s="50" t="s">
        <v>335</v>
      </c>
      <c r="AZ95" s="50" t="s">
        <v>344</v>
      </c>
      <c r="BA95" s="46" t="s">
        <v>345</v>
      </c>
      <c r="BC95" s="49">
        <f t="shared" si="129"/>
        <v>0</v>
      </c>
      <c r="BD95" s="49">
        <f t="shared" si="130"/>
        <v>0</v>
      </c>
      <c r="BE95" s="49">
        <v>0</v>
      </c>
      <c r="BF95" s="49">
        <f>95</f>
        <v>95</v>
      </c>
      <c r="BH95" s="34">
        <f t="shared" si="131"/>
        <v>0</v>
      </c>
      <c r="BI95" s="34">
        <f t="shared" si="132"/>
        <v>0</v>
      </c>
      <c r="BJ95" s="34">
        <f t="shared" si="133"/>
        <v>0</v>
      </c>
    </row>
    <row r="96" spans="1:62" ht="12.75">
      <c r="A96" s="24" t="s">
        <v>130</v>
      </c>
      <c r="B96" s="24" t="s">
        <v>204</v>
      </c>
      <c r="C96" s="115" t="s">
        <v>286</v>
      </c>
      <c r="D96" s="116"/>
      <c r="E96" s="116"/>
      <c r="F96" s="24" t="s">
        <v>298</v>
      </c>
      <c r="G96" s="34">
        <v>85.044</v>
      </c>
      <c r="H96" s="34">
        <v>0</v>
      </c>
      <c r="I96" s="34">
        <f t="shared" si="110"/>
        <v>0</v>
      </c>
      <c r="J96" s="34">
        <f t="shared" si="111"/>
        <v>0</v>
      </c>
      <c r="K96" s="34">
        <f t="shared" si="112"/>
        <v>0</v>
      </c>
      <c r="L96" s="45" t="s">
        <v>313</v>
      </c>
      <c r="Z96" s="49">
        <f t="shared" si="113"/>
        <v>0</v>
      </c>
      <c r="AB96" s="49">
        <f t="shared" si="114"/>
        <v>0</v>
      </c>
      <c r="AC96" s="49">
        <f t="shared" si="115"/>
        <v>0</v>
      </c>
      <c r="AD96" s="49">
        <f t="shared" si="116"/>
        <v>0</v>
      </c>
      <c r="AE96" s="49">
        <f t="shared" si="117"/>
        <v>0</v>
      </c>
      <c r="AF96" s="49">
        <f t="shared" si="118"/>
        <v>0</v>
      </c>
      <c r="AG96" s="49">
        <f t="shared" si="119"/>
        <v>0</v>
      </c>
      <c r="AH96" s="49">
        <f t="shared" si="120"/>
        <v>0</v>
      </c>
      <c r="AI96" s="46"/>
      <c r="AJ96" s="34">
        <f t="shared" si="121"/>
        <v>0</v>
      </c>
      <c r="AK96" s="34">
        <f t="shared" si="122"/>
        <v>0</v>
      </c>
      <c r="AL96" s="34">
        <f t="shared" si="123"/>
        <v>0</v>
      </c>
      <c r="AN96" s="49">
        <v>21</v>
      </c>
      <c r="AO96" s="49">
        <f t="shared" si="124"/>
        <v>0</v>
      </c>
      <c r="AP96" s="49">
        <f t="shared" si="125"/>
        <v>0</v>
      </c>
      <c r="AQ96" s="45" t="s">
        <v>59</v>
      </c>
      <c r="AV96" s="49">
        <f t="shared" si="126"/>
        <v>0</v>
      </c>
      <c r="AW96" s="49">
        <f t="shared" si="127"/>
        <v>0</v>
      </c>
      <c r="AX96" s="49">
        <f t="shared" si="128"/>
        <v>0</v>
      </c>
      <c r="AY96" s="50" t="s">
        <v>335</v>
      </c>
      <c r="AZ96" s="50" t="s">
        <v>344</v>
      </c>
      <c r="BA96" s="46" t="s">
        <v>345</v>
      </c>
      <c r="BC96" s="49">
        <f t="shared" si="129"/>
        <v>0</v>
      </c>
      <c r="BD96" s="49">
        <f t="shared" si="130"/>
        <v>0</v>
      </c>
      <c r="BE96" s="49">
        <v>0</v>
      </c>
      <c r="BF96" s="49">
        <f>96</f>
        <v>96</v>
      </c>
      <c r="BH96" s="34">
        <f t="shared" si="131"/>
        <v>0</v>
      </c>
      <c r="BI96" s="34">
        <f t="shared" si="132"/>
        <v>0</v>
      </c>
      <c r="BJ96" s="34">
        <f t="shared" si="133"/>
        <v>0</v>
      </c>
    </row>
    <row r="97" spans="1:62" ht="12.75">
      <c r="A97" s="24" t="s">
        <v>131</v>
      </c>
      <c r="B97" s="24" t="s">
        <v>199</v>
      </c>
      <c r="C97" s="115" t="s">
        <v>281</v>
      </c>
      <c r="D97" s="116"/>
      <c r="E97" s="116"/>
      <c r="F97" s="24" t="s">
        <v>299</v>
      </c>
      <c r="G97" s="34">
        <v>5.2212</v>
      </c>
      <c r="H97" s="34">
        <v>0</v>
      </c>
      <c r="I97" s="34">
        <f t="shared" si="110"/>
        <v>0</v>
      </c>
      <c r="J97" s="34">
        <f t="shared" si="111"/>
        <v>0</v>
      </c>
      <c r="K97" s="34">
        <f t="shared" si="112"/>
        <v>0</v>
      </c>
      <c r="L97" s="45" t="s">
        <v>313</v>
      </c>
      <c r="Z97" s="49">
        <f t="shared" si="113"/>
        <v>0</v>
      </c>
      <c r="AB97" s="49">
        <f t="shared" si="114"/>
        <v>0</v>
      </c>
      <c r="AC97" s="49">
        <f t="shared" si="115"/>
        <v>0</v>
      </c>
      <c r="AD97" s="49">
        <f t="shared" si="116"/>
        <v>0</v>
      </c>
      <c r="AE97" s="49">
        <f t="shared" si="117"/>
        <v>0</v>
      </c>
      <c r="AF97" s="49">
        <f t="shared" si="118"/>
        <v>0</v>
      </c>
      <c r="AG97" s="49">
        <f t="shared" si="119"/>
        <v>0</v>
      </c>
      <c r="AH97" s="49">
        <f t="shared" si="120"/>
        <v>0</v>
      </c>
      <c r="AI97" s="46"/>
      <c r="AJ97" s="34">
        <f t="shared" si="121"/>
        <v>0</v>
      </c>
      <c r="AK97" s="34">
        <f t="shared" si="122"/>
        <v>0</v>
      </c>
      <c r="AL97" s="34">
        <f t="shared" si="123"/>
        <v>0</v>
      </c>
      <c r="AN97" s="49">
        <v>21</v>
      </c>
      <c r="AO97" s="49">
        <f t="shared" si="124"/>
        <v>0</v>
      </c>
      <c r="AP97" s="49">
        <f t="shared" si="125"/>
        <v>0</v>
      </c>
      <c r="AQ97" s="45" t="s">
        <v>63</v>
      </c>
      <c r="AV97" s="49">
        <f t="shared" si="126"/>
        <v>0</v>
      </c>
      <c r="AW97" s="49">
        <f t="shared" si="127"/>
        <v>0</v>
      </c>
      <c r="AX97" s="49">
        <f t="shared" si="128"/>
        <v>0</v>
      </c>
      <c r="AY97" s="50" t="s">
        <v>335</v>
      </c>
      <c r="AZ97" s="50" t="s">
        <v>344</v>
      </c>
      <c r="BA97" s="46" t="s">
        <v>345</v>
      </c>
      <c r="BC97" s="49">
        <f t="shared" si="129"/>
        <v>0</v>
      </c>
      <c r="BD97" s="49">
        <f t="shared" si="130"/>
        <v>0</v>
      </c>
      <c r="BE97" s="49">
        <v>0</v>
      </c>
      <c r="BF97" s="49">
        <f>97</f>
        <v>97</v>
      </c>
      <c r="BH97" s="34">
        <f t="shared" si="131"/>
        <v>0</v>
      </c>
      <c r="BI97" s="34">
        <f t="shared" si="132"/>
        <v>0</v>
      </c>
      <c r="BJ97" s="34">
        <f t="shared" si="133"/>
        <v>0</v>
      </c>
    </row>
    <row r="98" spans="1:62" ht="12.75">
      <c r="A98" s="24" t="s">
        <v>132</v>
      </c>
      <c r="B98" s="24" t="s">
        <v>150</v>
      </c>
      <c r="C98" s="115" t="s">
        <v>226</v>
      </c>
      <c r="D98" s="116"/>
      <c r="E98" s="116"/>
      <c r="F98" s="24" t="s">
        <v>299</v>
      </c>
      <c r="G98" s="34">
        <v>5.2212</v>
      </c>
      <c r="H98" s="34">
        <v>0</v>
      </c>
      <c r="I98" s="34">
        <f t="shared" si="110"/>
        <v>0</v>
      </c>
      <c r="J98" s="34">
        <f t="shared" si="111"/>
        <v>0</v>
      </c>
      <c r="K98" s="34">
        <f t="shared" si="112"/>
        <v>0</v>
      </c>
      <c r="L98" s="45" t="s">
        <v>313</v>
      </c>
      <c r="Z98" s="49">
        <f t="shared" si="113"/>
        <v>0</v>
      </c>
      <c r="AB98" s="49">
        <f t="shared" si="114"/>
        <v>0</v>
      </c>
      <c r="AC98" s="49">
        <f t="shared" si="115"/>
        <v>0</v>
      </c>
      <c r="AD98" s="49">
        <f t="shared" si="116"/>
        <v>0</v>
      </c>
      <c r="AE98" s="49">
        <f t="shared" si="117"/>
        <v>0</v>
      </c>
      <c r="AF98" s="49">
        <f t="shared" si="118"/>
        <v>0</v>
      </c>
      <c r="AG98" s="49">
        <f t="shared" si="119"/>
        <v>0</v>
      </c>
      <c r="AH98" s="49">
        <f t="shared" si="120"/>
        <v>0</v>
      </c>
      <c r="AI98" s="46"/>
      <c r="AJ98" s="34">
        <f t="shared" si="121"/>
        <v>0</v>
      </c>
      <c r="AK98" s="34">
        <f t="shared" si="122"/>
        <v>0</v>
      </c>
      <c r="AL98" s="34">
        <f t="shared" si="123"/>
        <v>0</v>
      </c>
      <c r="AN98" s="49">
        <v>21</v>
      </c>
      <c r="AO98" s="49">
        <f t="shared" si="124"/>
        <v>0</v>
      </c>
      <c r="AP98" s="49">
        <f t="shared" si="125"/>
        <v>0</v>
      </c>
      <c r="AQ98" s="45" t="s">
        <v>63</v>
      </c>
      <c r="AV98" s="49">
        <f t="shared" si="126"/>
        <v>0</v>
      </c>
      <c r="AW98" s="49">
        <f t="shared" si="127"/>
        <v>0</v>
      </c>
      <c r="AX98" s="49">
        <f t="shared" si="128"/>
        <v>0</v>
      </c>
      <c r="AY98" s="50" t="s">
        <v>335</v>
      </c>
      <c r="AZ98" s="50" t="s">
        <v>344</v>
      </c>
      <c r="BA98" s="46" t="s">
        <v>345</v>
      </c>
      <c r="BC98" s="49">
        <f t="shared" si="129"/>
        <v>0</v>
      </c>
      <c r="BD98" s="49">
        <f t="shared" si="130"/>
        <v>0</v>
      </c>
      <c r="BE98" s="49">
        <v>0</v>
      </c>
      <c r="BF98" s="49">
        <f>98</f>
        <v>98</v>
      </c>
      <c r="BH98" s="34">
        <f t="shared" si="131"/>
        <v>0</v>
      </c>
      <c r="BI98" s="34">
        <f t="shared" si="132"/>
        <v>0</v>
      </c>
      <c r="BJ98" s="34">
        <f t="shared" si="133"/>
        <v>0</v>
      </c>
    </row>
    <row r="99" spans="1:47" ht="12.75">
      <c r="A99" s="25"/>
      <c r="B99" s="32" t="s">
        <v>205</v>
      </c>
      <c r="C99" s="119" t="s">
        <v>287</v>
      </c>
      <c r="D99" s="120"/>
      <c r="E99" s="120"/>
      <c r="F99" s="25" t="s">
        <v>58</v>
      </c>
      <c r="G99" s="25" t="s">
        <v>58</v>
      </c>
      <c r="H99" s="25" t="s">
        <v>58</v>
      </c>
      <c r="I99" s="52">
        <f>SUM(I100:I105)</f>
        <v>0</v>
      </c>
      <c r="J99" s="52">
        <f>SUM(J100:J105)</f>
        <v>0</v>
      </c>
      <c r="K99" s="52">
        <f>SUM(K100:K105)</f>
        <v>0</v>
      </c>
      <c r="L99" s="46"/>
      <c r="AI99" s="46"/>
      <c r="AS99" s="52">
        <f>SUM(AJ100:AJ105)</f>
        <v>0</v>
      </c>
      <c r="AT99" s="52">
        <f>SUM(AK100:AK105)</f>
        <v>0</v>
      </c>
      <c r="AU99" s="52">
        <f>SUM(AL100:AL105)</f>
        <v>0</v>
      </c>
    </row>
    <row r="100" spans="1:62" ht="12.75">
      <c r="A100" s="24" t="s">
        <v>133</v>
      </c>
      <c r="B100" s="24" t="s">
        <v>206</v>
      </c>
      <c r="C100" s="115" t="s">
        <v>288</v>
      </c>
      <c r="D100" s="116"/>
      <c r="E100" s="116"/>
      <c r="F100" s="24" t="s">
        <v>299</v>
      </c>
      <c r="G100" s="34">
        <v>20.47032</v>
      </c>
      <c r="H100" s="34">
        <v>0</v>
      </c>
      <c r="I100" s="34">
        <f aca="true" t="shared" si="134" ref="I100:I105">G100*AO100</f>
        <v>0</v>
      </c>
      <c r="J100" s="34">
        <f aca="true" t="shared" si="135" ref="J100:J105">G100*AP100</f>
        <v>0</v>
      </c>
      <c r="K100" s="34">
        <f aca="true" t="shared" si="136" ref="K100:K105">G100*H100</f>
        <v>0</v>
      </c>
      <c r="L100" s="45" t="s">
        <v>313</v>
      </c>
      <c r="Z100" s="49">
        <f aca="true" t="shared" si="137" ref="Z100:Z105">IF(AQ100="5",BJ100,0)</f>
        <v>0</v>
      </c>
      <c r="AB100" s="49">
        <f aca="true" t="shared" si="138" ref="AB100:AB105">IF(AQ100="1",BH100,0)</f>
        <v>0</v>
      </c>
      <c r="AC100" s="49">
        <f aca="true" t="shared" si="139" ref="AC100:AC105">IF(AQ100="1",BI100,0)</f>
        <v>0</v>
      </c>
      <c r="AD100" s="49">
        <f aca="true" t="shared" si="140" ref="AD100:AD105">IF(AQ100="7",BH100,0)</f>
        <v>0</v>
      </c>
      <c r="AE100" s="49">
        <f aca="true" t="shared" si="141" ref="AE100:AE105">IF(AQ100="7",BI100,0)</f>
        <v>0</v>
      </c>
      <c r="AF100" s="49">
        <f aca="true" t="shared" si="142" ref="AF100:AF105">IF(AQ100="2",BH100,0)</f>
        <v>0</v>
      </c>
      <c r="AG100" s="49">
        <f aca="true" t="shared" si="143" ref="AG100:AG105">IF(AQ100="2",BI100,0)</f>
        <v>0</v>
      </c>
      <c r="AH100" s="49">
        <f aca="true" t="shared" si="144" ref="AH100:AH105">IF(AQ100="0",BJ100,0)</f>
        <v>0</v>
      </c>
      <c r="AI100" s="46"/>
      <c r="AJ100" s="34">
        <f aca="true" t="shared" si="145" ref="AJ100:AJ105">IF(AN100=0,K100,0)</f>
        <v>0</v>
      </c>
      <c r="AK100" s="34">
        <f aca="true" t="shared" si="146" ref="AK100:AK105">IF(AN100=15,K100,0)</f>
        <v>0</v>
      </c>
      <c r="AL100" s="34">
        <f aca="true" t="shared" si="147" ref="AL100:AL105">IF(AN100=21,K100,0)</f>
        <v>0</v>
      </c>
      <c r="AN100" s="49">
        <v>21</v>
      </c>
      <c r="AO100" s="49">
        <f aca="true" t="shared" si="148" ref="AO100:AO105">H100*0</f>
        <v>0</v>
      </c>
      <c r="AP100" s="49">
        <f aca="true" t="shared" si="149" ref="AP100:AP105">H100*(1-0)</f>
        <v>0</v>
      </c>
      <c r="AQ100" s="45" t="s">
        <v>63</v>
      </c>
      <c r="AV100" s="49">
        <f aca="true" t="shared" si="150" ref="AV100:AV105">AW100+AX100</f>
        <v>0</v>
      </c>
      <c r="AW100" s="49">
        <f aca="true" t="shared" si="151" ref="AW100:AW105">G100*AO100</f>
        <v>0</v>
      </c>
      <c r="AX100" s="49">
        <f aca="true" t="shared" si="152" ref="AX100:AX105">G100*AP100</f>
        <v>0</v>
      </c>
      <c r="AY100" s="50" t="s">
        <v>336</v>
      </c>
      <c r="AZ100" s="50" t="s">
        <v>344</v>
      </c>
      <c r="BA100" s="46" t="s">
        <v>345</v>
      </c>
      <c r="BC100" s="49">
        <f aca="true" t="shared" si="153" ref="BC100:BC105">AW100+AX100</f>
        <v>0</v>
      </c>
      <c r="BD100" s="49">
        <f aca="true" t="shared" si="154" ref="BD100:BD105">H100/(100-BE100)*100</f>
        <v>0</v>
      </c>
      <c r="BE100" s="49">
        <v>0</v>
      </c>
      <c r="BF100" s="49">
        <f>100</f>
        <v>100</v>
      </c>
      <c r="BH100" s="34">
        <f aca="true" t="shared" si="155" ref="BH100:BH105">G100*AO100</f>
        <v>0</v>
      </c>
      <c r="BI100" s="34">
        <f aca="true" t="shared" si="156" ref="BI100:BI105">G100*AP100</f>
        <v>0</v>
      </c>
      <c r="BJ100" s="34">
        <f aca="true" t="shared" si="157" ref="BJ100:BJ105">G100*H100</f>
        <v>0</v>
      </c>
    </row>
    <row r="101" spans="1:62" ht="12.75">
      <c r="A101" s="24" t="s">
        <v>134</v>
      </c>
      <c r="B101" s="24" t="s">
        <v>207</v>
      </c>
      <c r="C101" s="115" t="s">
        <v>289</v>
      </c>
      <c r="D101" s="116"/>
      <c r="E101" s="116"/>
      <c r="F101" s="24" t="s">
        <v>299</v>
      </c>
      <c r="G101" s="34">
        <v>204.7</v>
      </c>
      <c r="H101" s="34">
        <v>0</v>
      </c>
      <c r="I101" s="34">
        <f t="shared" si="134"/>
        <v>0</v>
      </c>
      <c r="J101" s="34">
        <f t="shared" si="135"/>
        <v>0</v>
      </c>
      <c r="K101" s="34">
        <f t="shared" si="136"/>
        <v>0</v>
      </c>
      <c r="L101" s="45" t="s">
        <v>313</v>
      </c>
      <c r="Z101" s="49">
        <f t="shared" si="137"/>
        <v>0</v>
      </c>
      <c r="AB101" s="49">
        <f t="shared" si="138"/>
        <v>0</v>
      </c>
      <c r="AC101" s="49">
        <f t="shared" si="139"/>
        <v>0</v>
      </c>
      <c r="AD101" s="49">
        <f t="shared" si="140"/>
        <v>0</v>
      </c>
      <c r="AE101" s="49">
        <f t="shared" si="141"/>
        <v>0</v>
      </c>
      <c r="AF101" s="49">
        <f t="shared" si="142"/>
        <v>0</v>
      </c>
      <c r="AG101" s="49">
        <f t="shared" si="143"/>
        <v>0</v>
      </c>
      <c r="AH101" s="49">
        <f t="shared" si="144"/>
        <v>0</v>
      </c>
      <c r="AI101" s="46"/>
      <c r="AJ101" s="34">
        <f t="shared" si="145"/>
        <v>0</v>
      </c>
      <c r="AK101" s="34">
        <f t="shared" si="146"/>
        <v>0</v>
      </c>
      <c r="AL101" s="34">
        <f t="shared" si="147"/>
        <v>0</v>
      </c>
      <c r="AN101" s="49">
        <v>21</v>
      </c>
      <c r="AO101" s="49">
        <f t="shared" si="148"/>
        <v>0</v>
      </c>
      <c r="AP101" s="49">
        <f t="shared" si="149"/>
        <v>0</v>
      </c>
      <c r="AQ101" s="45" t="s">
        <v>63</v>
      </c>
      <c r="AV101" s="49">
        <f t="shared" si="150"/>
        <v>0</v>
      </c>
      <c r="AW101" s="49">
        <f t="shared" si="151"/>
        <v>0</v>
      </c>
      <c r="AX101" s="49">
        <f t="shared" si="152"/>
        <v>0</v>
      </c>
      <c r="AY101" s="50" t="s">
        <v>336</v>
      </c>
      <c r="AZ101" s="50" t="s">
        <v>344</v>
      </c>
      <c r="BA101" s="46" t="s">
        <v>345</v>
      </c>
      <c r="BC101" s="49">
        <f t="shared" si="153"/>
        <v>0</v>
      </c>
      <c r="BD101" s="49">
        <f t="shared" si="154"/>
        <v>0</v>
      </c>
      <c r="BE101" s="49">
        <v>0</v>
      </c>
      <c r="BF101" s="49">
        <f>101</f>
        <v>101</v>
      </c>
      <c r="BH101" s="34">
        <f t="shared" si="155"/>
        <v>0</v>
      </c>
      <c r="BI101" s="34">
        <f t="shared" si="156"/>
        <v>0</v>
      </c>
      <c r="BJ101" s="34">
        <f t="shared" si="157"/>
        <v>0</v>
      </c>
    </row>
    <row r="102" spans="1:62" ht="12.75">
      <c r="A102" s="24" t="s">
        <v>135</v>
      </c>
      <c r="B102" s="24" t="s">
        <v>208</v>
      </c>
      <c r="C102" s="115" t="s">
        <v>290</v>
      </c>
      <c r="D102" s="116"/>
      <c r="E102" s="116"/>
      <c r="F102" s="24" t="s">
        <v>299</v>
      </c>
      <c r="G102" s="34">
        <v>20.47</v>
      </c>
      <c r="H102" s="34">
        <v>0</v>
      </c>
      <c r="I102" s="34">
        <f t="shared" si="134"/>
        <v>0</v>
      </c>
      <c r="J102" s="34">
        <f t="shared" si="135"/>
        <v>0</v>
      </c>
      <c r="K102" s="34">
        <f t="shared" si="136"/>
        <v>0</v>
      </c>
      <c r="L102" s="45" t="s">
        <v>313</v>
      </c>
      <c r="Z102" s="49">
        <f t="shared" si="137"/>
        <v>0</v>
      </c>
      <c r="AB102" s="49">
        <f t="shared" si="138"/>
        <v>0</v>
      </c>
      <c r="AC102" s="49">
        <f t="shared" si="139"/>
        <v>0</v>
      </c>
      <c r="AD102" s="49">
        <f t="shared" si="140"/>
        <v>0</v>
      </c>
      <c r="AE102" s="49">
        <f t="shared" si="141"/>
        <v>0</v>
      </c>
      <c r="AF102" s="49">
        <f t="shared" si="142"/>
        <v>0</v>
      </c>
      <c r="AG102" s="49">
        <f t="shared" si="143"/>
        <v>0</v>
      </c>
      <c r="AH102" s="49">
        <f t="shared" si="144"/>
        <v>0</v>
      </c>
      <c r="AI102" s="46"/>
      <c r="AJ102" s="34">
        <f t="shared" si="145"/>
        <v>0</v>
      </c>
      <c r="AK102" s="34">
        <f t="shared" si="146"/>
        <v>0</v>
      </c>
      <c r="AL102" s="34">
        <f t="shared" si="147"/>
        <v>0</v>
      </c>
      <c r="AN102" s="49">
        <v>21</v>
      </c>
      <c r="AO102" s="49">
        <f t="shared" si="148"/>
        <v>0</v>
      </c>
      <c r="AP102" s="49">
        <f t="shared" si="149"/>
        <v>0</v>
      </c>
      <c r="AQ102" s="45" t="s">
        <v>63</v>
      </c>
      <c r="AV102" s="49">
        <f t="shared" si="150"/>
        <v>0</v>
      </c>
      <c r="AW102" s="49">
        <f t="shared" si="151"/>
        <v>0</v>
      </c>
      <c r="AX102" s="49">
        <f t="shared" si="152"/>
        <v>0</v>
      </c>
      <c r="AY102" s="50" t="s">
        <v>336</v>
      </c>
      <c r="AZ102" s="50" t="s">
        <v>344</v>
      </c>
      <c r="BA102" s="46" t="s">
        <v>345</v>
      </c>
      <c r="BC102" s="49">
        <f t="shared" si="153"/>
        <v>0</v>
      </c>
      <c r="BD102" s="49">
        <f t="shared" si="154"/>
        <v>0</v>
      </c>
      <c r="BE102" s="49">
        <v>0</v>
      </c>
      <c r="BF102" s="49">
        <f>102</f>
        <v>102</v>
      </c>
      <c r="BH102" s="34">
        <f t="shared" si="155"/>
        <v>0</v>
      </c>
      <c r="BI102" s="34">
        <f t="shared" si="156"/>
        <v>0</v>
      </c>
      <c r="BJ102" s="34">
        <f t="shared" si="157"/>
        <v>0</v>
      </c>
    </row>
    <row r="103" spans="1:62" ht="12.75">
      <c r="A103" s="24" t="s">
        <v>136</v>
      </c>
      <c r="B103" s="24" t="s">
        <v>209</v>
      </c>
      <c r="C103" s="115" t="s">
        <v>291</v>
      </c>
      <c r="D103" s="116"/>
      <c r="E103" s="116"/>
      <c r="F103" s="24" t="s">
        <v>299</v>
      </c>
      <c r="G103" s="34">
        <v>204.7</v>
      </c>
      <c r="H103" s="34">
        <v>0</v>
      </c>
      <c r="I103" s="34">
        <f t="shared" si="134"/>
        <v>0</v>
      </c>
      <c r="J103" s="34">
        <f t="shared" si="135"/>
        <v>0</v>
      </c>
      <c r="K103" s="34">
        <f t="shared" si="136"/>
        <v>0</v>
      </c>
      <c r="L103" s="45" t="s">
        <v>313</v>
      </c>
      <c r="Z103" s="49">
        <f t="shared" si="137"/>
        <v>0</v>
      </c>
      <c r="AB103" s="49">
        <f t="shared" si="138"/>
        <v>0</v>
      </c>
      <c r="AC103" s="49">
        <f t="shared" si="139"/>
        <v>0</v>
      </c>
      <c r="AD103" s="49">
        <f t="shared" si="140"/>
        <v>0</v>
      </c>
      <c r="AE103" s="49">
        <f t="shared" si="141"/>
        <v>0</v>
      </c>
      <c r="AF103" s="49">
        <f t="shared" si="142"/>
        <v>0</v>
      </c>
      <c r="AG103" s="49">
        <f t="shared" si="143"/>
        <v>0</v>
      </c>
      <c r="AH103" s="49">
        <f t="shared" si="144"/>
        <v>0</v>
      </c>
      <c r="AI103" s="46"/>
      <c r="AJ103" s="34">
        <f t="shared" si="145"/>
        <v>0</v>
      </c>
      <c r="AK103" s="34">
        <f t="shared" si="146"/>
        <v>0</v>
      </c>
      <c r="AL103" s="34">
        <f t="shared" si="147"/>
        <v>0</v>
      </c>
      <c r="AN103" s="49">
        <v>21</v>
      </c>
      <c r="AO103" s="49">
        <f t="shared" si="148"/>
        <v>0</v>
      </c>
      <c r="AP103" s="49">
        <f t="shared" si="149"/>
        <v>0</v>
      </c>
      <c r="AQ103" s="45" t="s">
        <v>63</v>
      </c>
      <c r="AV103" s="49">
        <f t="shared" si="150"/>
        <v>0</v>
      </c>
      <c r="AW103" s="49">
        <f t="shared" si="151"/>
        <v>0</v>
      </c>
      <c r="AX103" s="49">
        <f t="shared" si="152"/>
        <v>0</v>
      </c>
      <c r="AY103" s="50" t="s">
        <v>336</v>
      </c>
      <c r="AZ103" s="50" t="s">
        <v>344</v>
      </c>
      <c r="BA103" s="46" t="s">
        <v>345</v>
      </c>
      <c r="BC103" s="49">
        <f t="shared" si="153"/>
        <v>0</v>
      </c>
      <c r="BD103" s="49">
        <f t="shared" si="154"/>
        <v>0</v>
      </c>
      <c r="BE103" s="49">
        <v>0</v>
      </c>
      <c r="BF103" s="49">
        <f>103</f>
        <v>103</v>
      </c>
      <c r="BH103" s="34">
        <f t="shared" si="155"/>
        <v>0</v>
      </c>
      <c r="BI103" s="34">
        <f t="shared" si="156"/>
        <v>0</v>
      </c>
      <c r="BJ103" s="34">
        <f t="shared" si="157"/>
        <v>0</v>
      </c>
    </row>
    <row r="104" spans="1:62" ht="12.75">
      <c r="A104" s="24" t="s">
        <v>137</v>
      </c>
      <c r="B104" s="24" t="s">
        <v>210</v>
      </c>
      <c r="C104" s="115" t="s">
        <v>292</v>
      </c>
      <c r="D104" s="116"/>
      <c r="E104" s="116"/>
      <c r="F104" s="24" t="s">
        <v>299</v>
      </c>
      <c r="G104" s="34">
        <v>20.47</v>
      </c>
      <c r="H104" s="34">
        <v>0</v>
      </c>
      <c r="I104" s="34">
        <f t="shared" si="134"/>
        <v>0</v>
      </c>
      <c r="J104" s="34">
        <f t="shared" si="135"/>
        <v>0</v>
      </c>
      <c r="K104" s="34">
        <f t="shared" si="136"/>
        <v>0</v>
      </c>
      <c r="L104" s="45" t="s">
        <v>313</v>
      </c>
      <c r="Z104" s="49">
        <f t="shared" si="137"/>
        <v>0</v>
      </c>
      <c r="AB104" s="49">
        <f t="shared" si="138"/>
        <v>0</v>
      </c>
      <c r="AC104" s="49">
        <f t="shared" si="139"/>
        <v>0</v>
      </c>
      <c r="AD104" s="49">
        <f t="shared" si="140"/>
        <v>0</v>
      </c>
      <c r="AE104" s="49">
        <f t="shared" si="141"/>
        <v>0</v>
      </c>
      <c r="AF104" s="49">
        <f t="shared" si="142"/>
        <v>0</v>
      </c>
      <c r="AG104" s="49">
        <f t="shared" si="143"/>
        <v>0</v>
      </c>
      <c r="AH104" s="49">
        <f t="shared" si="144"/>
        <v>0</v>
      </c>
      <c r="AI104" s="46"/>
      <c r="AJ104" s="34">
        <f t="shared" si="145"/>
        <v>0</v>
      </c>
      <c r="AK104" s="34">
        <f t="shared" si="146"/>
        <v>0</v>
      </c>
      <c r="AL104" s="34">
        <f t="shared" si="147"/>
        <v>0</v>
      </c>
      <c r="AN104" s="49">
        <v>21</v>
      </c>
      <c r="AO104" s="49">
        <f t="shared" si="148"/>
        <v>0</v>
      </c>
      <c r="AP104" s="49">
        <f t="shared" si="149"/>
        <v>0</v>
      </c>
      <c r="AQ104" s="45" t="s">
        <v>63</v>
      </c>
      <c r="AV104" s="49">
        <f t="shared" si="150"/>
        <v>0</v>
      </c>
      <c r="AW104" s="49">
        <f t="shared" si="151"/>
        <v>0</v>
      </c>
      <c r="AX104" s="49">
        <f t="shared" si="152"/>
        <v>0</v>
      </c>
      <c r="AY104" s="50" t="s">
        <v>336</v>
      </c>
      <c r="AZ104" s="50" t="s">
        <v>344</v>
      </c>
      <c r="BA104" s="46" t="s">
        <v>345</v>
      </c>
      <c r="BC104" s="49">
        <f t="shared" si="153"/>
        <v>0</v>
      </c>
      <c r="BD104" s="49">
        <f t="shared" si="154"/>
        <v>0</v>
      </c>
      <c r="BE104" s="49">
        <v>0</v>
      </c>
      <c r="BF104" s="49">
        <f>104</f>
        <v>104</v>
      </c>
      <c r="BH104" s="34">
        <f t="shared" si="155"/>
        <v>0</v>
      </c>
      <c r="BI104" s="34">
        <f t="shared" si="156"/>
        <v>0</v>
      </c>
      <c r="BJ104" s="34">
        <f t="shared" si="157"/>
        <v>0</v>
      </c>
    </row>
    <row r="105" spans="1:62" ht="12.75">
      <c r="A105" s="27" t="s">
        <v>55</v>
      </c>
      <c r="B105" s="27" t="s">
        <v>211</v>
      </c>
      <c r="C105" s="123" t="s">
        <v>293</v>
      </c>
      <c r="D105" s="124"/>
      <c r="E105" s="124"/>
      <c r="F105" s="27" t="s">
        <v>299</v>
      </c>
      <c r="G105" s="36">
        <v>20.47</v>
      </c>
      <c r="H105" s="36">
        <v>0</v>
      </c>
      <c r="I105" s="36">
        <f t="shared" si="134"/>
        <v>0</v>
      </c>
      <c r="J105" s="36">
        <f t="shared" si="135"/>
        <v>0</v>
      </c>
      <c r="K105" s="36">
        <f t="shared" si="136"/>
        <v>0</v>
      </c>
      <c r="L105" s="48" t="s">
        <v>313</v>
      </c>
      <c r="Z105" s="49">
        <f t="shared" si="137"/>
        <v>0</v>
      </c>
      <c r="AB105" s="49">
        <f t="shared" si="138"/>
        <v>0</v>
      </c>
      <c r="AC105" s="49">
        <f t="shared" si="139"/>
        <v>0</v>
      </c>
      <c r="AD105" s="49">
        <f t="shared" si="140"/>
        <v>0</v>
      </c>
      <c r="AE105" s="49">
        <f t="shared" si="141"/>
        <v>0</v>
      </c>
      <c r="AF105" s="49">
        <f t="shared" si="142"/>
        <v>0</v>
      </c>
      <c r="AG105" s="49">
        <f t="shared" si="143"/>
        <v>0</v>
      </c>
      <c r="AH105" s="49">
        <f t="shared" si="144"/>
        <v>0</v>
      </c>
      <c r="AI105" s="46"/>
      <c r="AJ105" s="34">
        <f t="shared" si="145"/>
        <v>0</v>
      </c>
      <c r="AK105" s="34">
        <f t="shared" si="146"/>
        <v>0</v>
      </c>
      <c r="AL105" s="34">
        <f t="shared" si="147"/>
        <v>0</v>
      </c>
      <c r="AN105" s="49">
        <v>21</v>
      </c>
      <c r="AO105" s="49">
        <f t="shared" si="148"/>
        <v>0</v>
      </c>
      <c r="AP105" s="49">
        <f t="shared" si="149"/>
        <v>0</v>
      </c>
      <c r="AQ105" s="45" t="s">
        <v>63</v>
      </c>
      <c r="AV105" s="49">
        <f t="shared" si="150"/>
        <v>0</v>
      </c>
      <c r="AW105" s="49">
        <f t="shared" si="151"/>
        <v>0</v>
      </c>
      <c r="AX105" s="49">
        <f t="shared" si="152"/>
        <v>0</v>
      </c>
      <c r="AY105" s="50" t="s">
        <v>336</v>
      </c>
      <c r="AZ105" s="50" t="s">
        <v>344</v>
      </c>
      <c r="BA105" s="46" t="s">
        <v>345</v>
      </c>
      <c r="BC105" s="49">
        <f t="shared" si="153"/>
        <v>0</v>
      </c>
      <c r="BD105" s="49">
        <f t="shared" si="154"/>
        <v>0</v>
      </c>
      <c r="BE105" s="49">
        <v>0</v>
      </c>
      <c r="BF105" s="49">
        <f>105</f>
        <v>105</v>
      </c>
      <c r="BH105" s="34">
        <f t="shared" si="155"/>
        <v>0</v>
      </c>
      <c r="BI105" s="34">
        <f t="shared" si="156"/>
        <v>0</v>
      </c>
      <c r="BJ105" s="34">
        <f t="shared" si="157"/>
        <v>0</v>
      </c>
    </row>
    <row r="106" spans="1:12" ht="12.75">
      <c r="A106" s="5"/>
      <c r="B106" s="5"/>
      <c r="C106" s="55"/>
      <c r="D106" s="5"/>
      <c r="E106" s="5"/>
      <c r="F106" s="5"/>
      <c r="G106" s="5"/>
      <c r="H106" s="5"/>
      <c r="I106" s="125" t="s">
        <v>309</v>
      </c>
      <c r="J106" s="64"/>
      <c r="K106" s="53">
        <f>K12+K19+K25+K31+K36+K50+K56+K63+K75+K78+K80+K83+K92+K99</f>
        <v>0</v>
      </c>
      <c r="L106" s="5"/>
    </row>
    <row r="107" ht="11.25" customHeight="1">
      <c r="A107" s="28" t="s">
        <v>18</v>
      </c>
    </row>
    <row r="108" spans="1:12" ht="12.75">
      <c r="A108" s="70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</sheetData>
  <sheetProtection/>
  <mergeCells count="124">
    <mergeCell ref="C105:E105"/>
    <mergeCell ref="I106:J106"/>
    <mergeCell ref="A108:L108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</cp:lastModifiedBy>
  <dcterms:modified xsi:type="dcterms:W3CDTF">2020-08-03T11:19:12Z</dcterms:modified>
  <cp:category/>
  <cp:version/>
  <cp:contentType/>
  <cp:contentStatus/>
</cp:coreProperties>
</file>