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<sst xmlns="http://schemas.openxmlformats.org/spreadsheetml/2006/main" count="1070" uniqueCount="396">
  <si>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</si>
  <si>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</si>
  <si>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</si>
  <si>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</si>
  <si>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</si>
  <si>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</si>
  <si>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</si>
  <si>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</si>
  <si>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</si>
  <si>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</si>
  <si>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</si>
  <si>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</si>
  <si>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</si>
  <si>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</si>
  <si>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</si>
  <si>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</si>
  <si>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</si>
  <si>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</si>
  <si>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</si>
  <si>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</si>
  <si>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</si>
  <si>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</si>
  <si>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</si>
  <si>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</si>
  <si>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</si>
  <si>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</si>
  <si>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</si>
  <si>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</si>
  <si>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</si>
  <si>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</si>
  <si>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</si>
  <si>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</si>
  <si>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</si>
  <si>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</si>
  <si>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</si>
  <si>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</si>
  <si>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</si>
  <si>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</si>
  <si>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</si>
  <si>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</si>
  <si>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</si>
  <si>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</si>
  <si>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</si>
  <si>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</si>
  <si>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</si>
  <si>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</si>
  <si>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</si>
  <si>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</si>
  <si>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</si>
  <si>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</si>
  <si>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</si>
  <si>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</si>
  <si>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</si>
  <si>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</si>
  <si>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</si>
  <si>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</si>
  <si>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</si>
  <si>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</si>
  <si>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</si>
  <si>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</si>
  <si>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</si>
  <si>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</si>
  <si>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</si>
  <si>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</si>
  <si>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Poznámka:</t>
  </si>
  <si>
    <t>Kód</t>
  </si>
  <si>
    <t>61</t>
  </si>
  <si>
    <t>612421231RT2</t>
  </si>
  <si>
    <t>611421231RT2</t>
  </si>
  <si>
    <t>612421311R00</t>
  </si>
  <si>
    <t>63</t>
  </si>
  <si>
    <t>632411150R00</t>
  </si>
  <si>
    <t>711</t>
  </si>
  <si>
    <t>711212002RT3</t>
  </si>
  <si>
    <t>998711201R00</t>
  </si>
  <si>
    <t>721</t>
  </si>
  <si>
    <t>721210817R00</t>
  </si>
  <si>
    <t>721211505R00</t>
  </si>
  <si>
    <t>998721201R00</t>
  </si>
  <si>
    <t>725</t>
  </si>
  <si>
    <t>725210821R00</t>
  </si>
  <si>
    <t>725219201R00</t>
  </si>
  <si>
    <t>64217303</t>
  </si>
  <si>
    <t>551620220</t>
  </si>
  <si>
    <t>64286105</t>
  </si>
  <si>
    <t>725219503R00</t>
  </si>
  <si>
    <t>64291390</t>
  </si>
  <si>
    <t>725820801R00</t>
  </si>
  <si>
    <t>725825111R00</t>
  </si>
  <si>
    <t>725845111R00</t>
  </si>
  <si>
    <t>725849302R00</t>
  </si>
  <si>
    <t>55145357</t>
  </si>
  <si>
    <t>725514802R00</t>
  </si>
  <si>
    <t>725534223R00</t>
  </si>
  <si>
    <t>998725201R00</t>
  </si>
  <si>
    <t>725VD</t>
  </si>
  <si>
    <t>735</t>
  </si>
  <si>
    <t>735151811R00</t>
  </si>
  <si>
    <t>735192923R00</t>
  </si>
  <si>
    <t>998735201R00</t>
  </si>
  <si>
    <t>771</t>
  </si>
  <si>
    <t>771101101R00</t>
  </si>
  <si>
    <t>771100020RAA</t>
  </si>
  <si>
    <t>771101210RT1</t>
  </si>
  <si>
    <t>771575109R00</t>
  </si>
  <si>
    <t>597642031</t>
  </si>
  <si>
    <t>771577111R00</t>
  </si>
  <si>
    <t>998771201R00</t>
  </si>
  <si>
    <t>781</t>
  </si>
  <si>
    <t>781475115R00</t>
  </si>
  <si>
    <t>597813661</t>
  </si>
  <si>
    <t>781101111R00</t>
  </si>
  <si>
    <t>781101210RT1</t>
  </si>
  <si>
    <t>781497121R00</t>
  </si>
  <si>
    <t>998781201R00</t>
  </si>
  <si>
    <t>784</t>
  </si>
  <si>
    <t>784402801R00</t>
  </si>
  <si>
    <t>784011221RT2</t>
  </si>
  <si>
    <t>784011222RT2</t>
  </si>
  <si>
    <t>784191101R00</t>
  </si>
  <si>
    <t>784195212R00</t>
  </si>
  <si>
    <t>95</t>
  </si>
  <si>
    <t>952901111R00</t>
  </si>
  <si>
    <t>96</t>
  </si>
  <si>
    <t>965081713R00</t>
  </si>
  <si>
    <t>965043341RT3</t>
  </si>
  <si>
    <t>97</t>
  </si>
  <si>
    <t>978059531R00</t>
  </si>
  <si>
    <t>H99</t>
  </si>
  <si>
    <t>999281105R00</t>
  </si>
  <si>
    <t>M21</t>
  </si>
  <si>
    <t>210-001VD</t>
  </si>
  <si>
    <t>S</t>
  </si>
  <si>
    <t>979081111R00</t>
  </si>
  <si>
    <t>979081121R00</t>
  </si>
  <si>
    <t>979082111R00</t>
  </si>
  <si>
    <t>979082121R00</t>
  </si>
  <si>
    <t>979990107R00</t>
  </si>
  <si>
    <t>OPRAVA SPRCH A VÝMĚNA UMYVADEL V SDH DRUŽSTEVNÍ</t>
  </si>
  <si>
    <t>Zkrácený popis</t>
  </si>
  <si>
    <t>Rozměry</t>
  </si>
  <si>
    <t>Úprava povrchů vnitřní</t>
  </si>
  <si>
    <t>Oprava vápen.omítek stěn do 10 % pl. - štukových</t>
  </si>
  <si>
    <t>Oprava váp.omítek stropů do 10% plochy - štukových</t>
  </si>
  <si>
    <t>Oprava vápen.omítek stěn do 30 % pl. - hrubých</t>
  </si>
  <si>
    <t>Podlahy a podlahové konstrukce</t>
  </si>
  <si>
    <t>Potěr ze SMS Cemix, ruční zpracování, tl. 50 mm</t>
  </si>
  <si>
    <t>Izolace proti vodě</t>
  </si>
  <si>
    <t>Hydroizolační povlak - nátěr nebo stěrka</t>
  </si>
  <si>
    <t>Přesun hmot pro izolace proti vodě, výšky do 6 m</t>
  </si>
  <si>
    <t>Vnitřní kanalizace</t>
  </si>
  <si>
    <t>Demontáž vpusti vanové DN 70</t>
  </si>
  <si>
    <t>Vpusť podlahová Geberit PE + PP D 50 mm</t>
  </si>
  <si>
    <t>Přesun hmot pro vnitřní kanalizaci, výšky do 6 m</t>
  </si>
  <si>
    <t>Zařizovací předměty</t>
  </si>
  <si>
    <t>Demontáž umyvadel bez výtokových armatur</t>
  </si>
  <si>
    <t>Montáž umyvadel na konzoly</t>
  </si>
  <si>
    <t>Umyvadlo LYRA Plus bez otv. bater. 500x410x185 mm</t>
  </si>
  <si>
    <t>A41 Sifon umyvadlový d 40 mm</t>
  </si>
  <si>
    <t>Sada instalační k umyvadlům</t>
  </si>
  <si>
    <t>Montáž krytu sifonu umyvadel</t>
  </si>
  <si>
    <t>Kryt na sifón LYRA Plus bílý polosloup</t>
  </si>
  <si>
    <t>Demontáž baterie nástěnné do G 3/4</t>
  </si>
  <si>
    <t>Baterie umyvadlová nástěnná ruční</t>
  </si>
  <si>
    <t>Baterie sprchová nástěnná ruční, bez příslušenství</t>
  </si>
  <si>
    <t>Montáž držáku sprchy</t>
  </si>
  <si>
    <t>Tyč sprchová 90 cm 973.00</t>
  </si>
  <si>
    <t>Demontáž ohřívače plynového</t>
  </si>
  <si>
    <t>Ohřívač elek. zásob. závěsný DZ Dražice OKCE 80</t>
  </si>
  <si>
    <t>Přesun hmot pro zařizovací předměty, výšky do 6 m</t>
  </si>
  <si>
    <t>Úpravy vodoinstalace a kanalizace pro napojení nových zařizovacích předmětů</t>
  </si>
  <si>
    <t>Otopná tělesa</t>
  </si>
  <si>
    <t>Demontáž otopných těles panelových 1řadých,1500 mm</t>
  </si>
  <si>
    <t>Zpětná montáž otop.těles panel.2řadých,1500 mm</t>
  </si>
  <si>
    <t>Přesun hmot pro otopná tělesa, výšky do 6 m</t>
  </si>
  <si>
    <t>Podlahy z dlaždic</t>
  </si>
  <si>
    <t>Vysávání podlah prům.vysavačem pro pokládku dlažby</t>
  </si>
  <si>
    <t>Vyrovnání podkladu samoniv.hmotou Ultraplan v int.</t>
  </si>
  <si>
    <t>Penetrace podkladu pod dlažby</t>
  </si>
  <si>
    <t>Montáž podlah keram.,hladké, tmel, 30x30 cm</t>
  </si>
  <si>
    <t>Dlažba Taurus Granit protiskluz. SB 300x300x9 mm</t>
  </si>
  <si>
    <t>Hrana schodů z hliníkového profilu</t>
  </si>
  <si>
    <t>Přesun hmot pro podlahy z dlaždic, výšky do 6 m</t>
  </si>
  <si>
    <t>Obklady (keramické)</t>
  </si>
  <si>
    <t>Obklad vnitřní stěn keramický, do tmele, 25x25 cm</t>
  </si>
  <si>
    <t>Obkládačka 20x25 bílá lesk</t>
  </si>
  <si>
    <t>Vyrovnání podkladu maltou ze SMS tl. do 7 mm</t>
  </si>
  <si>
    <t>Penetrace podkladu pod obklady</t>
  </si>
  <si>
    <t>Lišta hliníková rohová k obkladům</t>
  </si>
  <si>
    <t>Přesun hmot pro obklady keramické, výšky do 6 m</t>
  </si>
  <si>
    <t>Malby</t>
  </si>
  <si>
    <t>Odstranění malby oškrábáním v místnosti H do 3,8 m</t>
  </si>
  <si>
    <t>Zakrytí předmětů</t>
  </si>
  <si>
    <t>Zakrytí podlah</t>
  </si>
  <si>
    <t>Penetrace podkladu univerzální Primalex 1x</t>
  </si>
  <si>
    <t>Malba Primalex Plus, bílá, bez penetrace, 2 x</t>
  </si>
  <si>
    <t>Různé dokončovací konstrukce a práce na pozemních stavbách</t>
  </si>
  <si>
    <t>Vyčištění budov o výšce podlaží do 4 m</t>
  </si>
  <si>
    <t>Bourání konstrukcí</t>
  </si>
  <si>
    <t>Bourání dlažeb keramických tl.10 mm, nad 1 m2</t>
  </si>
  <si>
    <t>Bourání podkladů bet., potěr tl. 10 cm, nad 4 m2</t>
  </si>
  <si>
    <t>Prorážení otvorů a ostatní bourací práce</t>
  </si>
  <si>
    <t>Odsekání vnitřních obkladů stěn nad 2 m2</t>
  </si>
  <si>
    <t>Ostatní přesuny hmot</t>
  </si>
  <si>
    <t>Přesun hmot pro opravy a údržbu do výšky 6 m</t>
  </si>
  <si>
    <t>Elektromontáže</t>
  </si>
  <si>
    <t>Úpravy elektroinstalace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</si>
  <si>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</si>
  <si>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</si>
  <si>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</si>
  <si>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</si>
  <si>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</si>
  <si>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suti</t>
  </si>
  <si>
    <t>Doba výstavby:</t>
  </si>
  <si>
    <t>Začátek výstavby:</t>
  </si>
  <si>
    <t>Konec výstavby:</t>
  </si>
  <si>
    <t>Zpracováno dne:</t>
  </si>
  <si>
    <t>27.04.2019</t>
  </si>
  <si>
    <t>Objednatel:</t>
  </si>
  <si>
    <t>Projektant:</t>
  </si>
  <si>
    <t>Zhotovitel:</t>
  </si>
  <si>
    <t>Zpracoval:</t>
  </si>
  <si>
    <t>Město Studénka</t>
  </si>
  <si>
    <t>Renata Škopová</t>
  </si>
  <si>
    <t> </t>
  </si>
  <si>
    <t>Radovan Duchoň</t>
  </si>
  <si>
    <t>MJ</t>
  </si>
  <si>
    <t>m2</t>
  </si>
  <si>
    <t>%</t>
  </si>
  <si>
    <t>kus</t>
  </si>
  <si>
    <t>soubor</t>
  </si>
  <si>
    <t>pár</t>
  </si>
  <si>
    <t>soub</t>
  </si>
  <si>
    <t>m</t>
  </si>
  <si>
    <t>m3</t>
  </si>
  <si>
    <t>t</t>
  </si>
  <si>
    <t>Množství</t>
  </si>
  <si>
    <t>Cena/MJ</t>
  </si>
  <si>
    <t>(Kč)</t>
  </si>
  <si>
    <t>Náklady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</si>
  <si>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</si>
  <si>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</si>
  <si>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</si>
  <si>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</si>
  <si>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</si>
  <si>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</si>
  <si>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</si>
  <si>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</si>
  <si>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</si>
  <si>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</si>
  <si>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</si>
  <si>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63_</t>
  </si>
  <si>
    <t>711_</t>
  </si>
  <si>
    <t>721_</t>
  </si>
  <si>
    <t>725_</t>
  </si>
  <si>
    <t>735_</t>
  </si>
  <si>
    <t>771_</t>
  </si>
  <si>
    <t>781_</t>
  </si>
  <si>
    <t>784_</t>
  </si>
  <si>
    <t>95_</t>
  </si>
  <si>
    <t>96_</t>
  </si>
  <si>
    <t>97_</t>
  </si>
  <si>
    <t>H99_</t>
  </si>
  <si>
    <t>M21_</t>
  </si>
  <si>
    <t>S_</t>
  </si>
  <si>
    <t>6_</t>
  </si>
  <si>
    <t>71_</t>
  </si>
  <si>
    <t>72_</t>
  </si>
  <si>
    <t>73_</t>
  </si>
  <si>
    <t>77_</t>
  </si>
  <si>
    <t>78_</t>
  </si>
  <si>
    <t>9_</t>
  </si>
  <si>
    <t>_</t>
  </si>
  <si>
    <t>MAT</t>
  </si>
  <si>
    <t>WORK</t>
  </si>
  <si>
    <t>CELK</t>
  </si>
  <si>
    <t>Slepý stavební rozpočet - rekapitulace</t>
  </si>
  <si>
    <t>Objekt</t>
  </si>
  <si>
    <t>Celkem:</t>
  </si>
  <si>
    <t>Náklady (Kč) - celkem</t>
  </si>
  <si>
    <t>T</t>
  </si>
  <si>
    <t>Výkaz výměr</t>
  </si>
  <si>
    <t>(2,93*2+2,42*2)*1,63   </t>
  </si>
  <si>
    <t>2,93*2,42   </t>
  </si>
  <si>
    <t>(1,1+2,42+1,1)*2   </t>
  </si>
  <si>
    <t>1,1*2,42   </t>
  </si>
  <si>
    <t>2,42*0,1   </t>
  </si>
  <si>
    <t>umyvadla   </t>
  </si>
  <si>
    <t>3   </t>
  </si>
  <si>
    <t>sprcha   </t>
  </si>
  <si>
    <t>2   </t>
  </si>
  <si>
    <t>7,5746   </t>
  </si>
  <si>
    <t>;ztratné 10%; 0,75746   </t>
  </si>
  <si>
    <t>schodek sprcha   </t>
  </si>
  <si>
    <t>2,42*2   </t>
  </si>
  <si>
    <t>(2,93*2+2,42*2)*2   </t>
  </si>
  <si>
    <t>-1,17*1,1   </t>
  </si>
  <si>
    <t>0,2*1,1*2   </t>
  </si>
  <si>
    <t>1,17*0,2   </t>
  </si>
  <si>
    <t>-1*2   </t>
  </si>
  <si>
    <t>0,15*2*2   </t>
  </si>
  <si>
    <t>19,387   </t>
  </si>
  <si>
    <t>;ztratné 10%; 1,9387   </t>
  </si>
  <si>
    <t>dveře   </t>
  </si>
  <si>
    <t>2*2   </t>
  </si>
  <si>
    <t>okno   </t>
  </si>
  <si>
    <t>1,1+1,17+1,1   </t>
  </si>
  <si>
    <t>strop   </t>
  </si>
  <si>
    <t>stěny   </t>
  </si>
  <si>
    <t>(2,93*2+2,42*2)*3,63   </t>
  </si>
  <si>
    <t>odpočet plochy obkladů   </t>
  </si>
  <si>
    <t>-16,4481   </t>
  </si>
  <si>
    <t>1,17*1,45   </t>
  </si>
  <si>
    <t>7,09   </t>
  </si>
  <si>
    <t>-19,387   </t>
  </si>
  <si>
    <t>2,42*0,1*2   </t>
  </si>
  <si>
    <t>7,09*0,05   </t>
  </si>
  <si>
    <t>výška 1,25 m   </t>
  </si>
  <si>
    <t>2,42*1,25   </t>
  </si>
  <si>
    <t>0,45*1,25*2   </t>
  </si>
  <si>
    <t>0,15*1,25   </t>
  </si>
  <si>
    <t>1,17*0,9   </t>
  </si>
  <si>
    <t>0,2*0,35   </t>
  </si>
  <si>
    <t>0,2*1,1   </t>
  </si>
  <si>
    <t>výška 1,98 m   </t>
  </si>
  <si>
    <t>(1,3+2,42+1,45+0,15)*1,98   </t>
  </si>
  <si>
    <t>0,3467   </t>
  </si>
  <si>
    <t>0,6736   </t>
  </si>
  <si>
    <t>0,0413   </t>
  </si>
  <si>
    <t>0,0584   </t>
  </si>
  <si>
    <t>0,0078   </t>
  </si>
  <si>
    <t>0,9314   </t>
  </si>
  <si>
    <t>1,1185   </t>
  </si>
  <si>
    <t>2,1574*14   </t>
  </si>
  <si>
    <t>2,1574*2   </t>
  </si>
  <si>
    <t>2,1574   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</si>
  <si>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</si>
  <si>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</si>
  <si>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</si>
  <si>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</si>
  <si>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</si>
  <si>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</si>
  <si>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</si>
  <si>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</si>
  <si>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</si>
  <si>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</si>
  <si>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</si>
  <si>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</si>
  <si>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</si>
  <si>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</si>
  <si>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</si>
  <si>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</si>
  <si>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</si>
  <si>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</si>
  <si>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</si>
  <si>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</si>
  <si>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</si>
  <si>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</si>
  <si>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</si>
  <si>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</si>
  <si>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</si>
  <si>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</si>
  <si>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</si>
  <si>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</si>
  <si>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</si>
  <si>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</si>
  <si>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</si>
  <si>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</si>
  <si>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</si>
  <si>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</si>
  <si>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</si>
  <si>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</si>
  <si>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</si>
  <si>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</si>
  <si>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</si>
  <si>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</si>
  <si>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</si>
  <si>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</si>
  <si>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</si>
  <si>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</si>
  <si>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</si>
  <si>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</si>
  <si>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00298441/CZ00298441</t>
  </si>
  <si>
    <t>73118214/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</si>
  <si>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</si>
  <si>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</si>
  <si>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</si>
  <si>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</si>
  <si>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</si>
  <si>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</si>
  <si>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</si>
  <si>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Ostatní náklady</t>
  </si>
  <si>
    <t>Celkem ORN</t>
  </si>
  <si>
    <t>Vedlejší a ostatní rozpočtové náklady</t>
  </si>
  <si>
    <t>Kč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</si>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</sst>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4" borderId="25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4" fillId="0" borderId="25" xfId="0" applyNumberFormat="1" applyFont="1" applyFill="1" applyBorder="1" applyAlignment="1" applyProtection="1">
      <alignment horizontal="right" vertical="center"/>
      <protection/>
    </xf>
    <xf numFmtId="49" fontId="14" fillId="0" borderId="25" xfId="0" applyNumberFormat="1" applyFont="1" applyFill="1" applyBorder="1" applyAlignment="1" applyProtection="1">
      <alignment horizontal="right" vertical="center"/>
      <protection/>
    </xf>
    <xf numFmtId="4" fontId="14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34" borderId="4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3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59" xfId="0" applyNumberFormat="1" applyFont="1" applyFill="1" applyBorder="1" applyAlignment="1" applyProtection="1">
      <alignment horizontal="left" vertical="center"/>
      <protection/>
    </xf>
    <xf numFmtId="4" fontId="13" fillId="0" borderId="58" xfId="0" applyNumberFormat="1" applyFont="1" applyFill="1" applyBorder="1" applyAlignment="1" applyProtection="1">
      <alignment horizontal="right" vertical="center"/>
      <protection/>
    </xf>
    <xf numFmtId="0" fontId="13" fillId="0" borderId="35" xfId="0" applyNumberFormat="1" applyFont="1" applyFill="1" applyBorder="1" applyAlignment="1" applyProtection="1">
      <alignment horizontal="right" vertical="center"/>
      <protection/>
    </xf>
    <xf numFmtId="0" fontId="13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5.00390625" style="0" customWidth="1"/>
    <col min="4" max="8" width="11.57421875" style="0" customWidth="1"/>
    <col min="9" max="9" width="6.421875" style="0" customWidth="1"/>
    <col min="10" max="10" width="12.8515625" style="0" customWidth="1"/>
    <col min="11" max="11" width="12.00390625" style="0" customWidth="1"/>
    <col min="12" max="12" width="14.2812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2.75">
      <c r="A2" s="74" t="s">
        <v>1</v>
      </c>
      <c r="B2" s="75"/>
      <c r="C2" s="78" t="s">
        <v>138</v>
      </c>
      <c r="D2" s="80" t="s">
        <v>213</v>
      </c>
      <c r="E2" s="75"/>
      <c r="F2" s="80" t="s">
        <v>6</v>
      </c>
      <c r="G2" s="81" t="s">
        <v>218</v>
      </c>
      <c r="H2" s="81" t="s">
        <v>222</v>
      </c>
      <c r="I2" s="75"/>
      <c r="J2" s="75"/>
      <c r="K2" s="75"/>
      <c r="L2" s="82"/>
      <c r="M2" s="23"/>
    </row>
    <row r="3" spans="1:13" ht="12.75">
      <c r="A3" s="76"/>
      <c r="B3" s="77"/>
      <c r="C3" s="79"/>
      <c r="D3" s="77"/>
      <c r="E3" s="77"/>
      <c r="F3" s="77"/>
      <c r="G3" s="77"/>
      <c r="H3" s="77"/>
      <c r="I3" s="77"/>
      <c r="J3" s="77"/>
      <c r="K3" s="77"/>
      <c r="L3" s="83"/>
      <c r="M3" s="23"/>
    </row>
    <row r="4" spans="1:13" ht="12.75">
      <c r="A4" s="84" t="s">
        <v>2</v>
      </c>
      <c r="B4" s="77"/>
      <c r="C4" s="85" t="s">
        <v>6</v>
      </c>
      <c r="D4" s="86" t="s">
        <v>214</v>
      </c>
      <c r="E4" s="77"/>
      <c r="F4" s="86" t="s">
        <v>6</v>
      </c>
      <c r="G4" s="85" t="s">
        <v>219</v>
      </c>
      <c r="H4" s="85" t="s">
        <v>223</v>
      </c>
      <c r="I4" s="77"/>
      <c r="J4" s="77"/>
      <c r="K4" s="77"/>
      <c r="L4" s="83"/>
      <c r="M4" s="23"/>
    </row>
    <row r="5" spans="1:13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83"/>
      <c r="M5" s="23"/>
    </row>
    <row r="6" spans="1:13" ht="12.75">
      <c r="A6" s="84" t="s">
        <v>3</v>
      </c>
      <c r="B6" s="77"/>
      <c r="C6" s="85" t="s">
        <v>6</v>
      </c>
      <c r="D6" s="86" t="s">
        <v>215</v>
      </c>
      <c r="E6" s="77"/>
      <c r="F6" s="86" t="s">
        <v>6</v>
      </c>
      <c r="G6" s="85" t="s">
        <v>220</v>
      </c>
      <c r="H6" s="86" t="s">
        <v>224</v>
      </c>
      <c r="I6" s="77"/>
      <c r="J6" s="77"/>
      <c r="K6" s="77"/>
      <c r="L6" s="83"/>
      <c r="M6" s="23"/>
    </row>
    <row r="7" spans="1:13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83"/>
      <c r="M7" s="23"/>
    </row>
    <row r="8" spans="1:13" ht="12.75">
      <c r="A8" s="84" t="s">
        <v>4</v>
      </c>
      <c r="B8" s="77"/>
      <c r="C8" s="85" t="s">
        <v>6</v>
      </c>
      <c r="D8" s="86" t="s">
        <v>216</v>
      </c>
      <c r="E8" s="77"/>
      <c r="F8" s="86" t="s">
        <v>217</v>
      </c>
      <c r="G8" s="85" t="s">
        <v>221</v>
      </c>
      <c r="H8" s="85" t="s">
        <v>225</v>
      </c>
      <c r="I8" s="77"/>
      <c r="J8" s="77"/>
      <c r="K8" s="77"/>
      <c r="L8" s="83"/>
      <c r="M8" s="23"/>
    </row>
    <row r="9" spans="1:13" ht="12.7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23"/>
    </row>
    <row r="10" spans="1:13" ht="12.75">
      <c r="A10" s="1" t="s">
        <v>5</v>
      </c>
      <c r="B10" s="10" t="s">
        <v>65</v>
      </c>
      <c r="C10" s="90" t="s">
        <v>139</v>
      </c>
      <c r="D10" s="91"/>
      <c r="E10" s="91"/>
      <c r="F10" s="91"/>
      <c r="G10" s="91"/>
      <c r="H10" s="92"/>
      <c r="I10" s="10" t="s">
        <v>226</v>
      </c>
      <c r="J10" s="15" t="s">
        <v>236</v>
      </c>
      <c r="K10" s="19" t="s">
        <v>237</v>
      </c>
      <c r="L10" s="21" t="s">
        <v>239</v>
      </c>
      <c r="M10" s="24"/>
    </row>
    <row r="11" spans="1:62" ht="12.75">
      <c r="A11" s="2" t="s">
        <v>6</v>
      </c>
      <c r="B11" s="11" t="s">
        <v>6</v>
      </c>
      <c r="C11" s="93" t="s">
        <v>140</v>
      </c>
      <c r="D11" s="94"/>
      <c r="E11" s="94"/>
      <c r="F11" s="94"/>
      <c r="G11" s="94"/>
      <c r="H11" s="95"/>
      <c r="I11" s="11" t="s">
        <v>6</v>
      </c>
      <c r="J11" s="11" t="s">
        <v>6</v>
      </c>
      <c r="K11" s="20" t="s">
        <v>238</v>
      </c>
      <c r="L11" s="22" t="s">
        <v>240</v>
      </c>
      <c r="M11" s="24"/>
      <c r="Z11" s="25" t="s">
        <v>241</v>
      </c>
      <c r="AA11" s="25" t="s">
        <v>242</v>
      </c>
      <c r="AB11" s="25" t="s">
        <v>243</v>
      </c>
      <c r="AC11" s="25" t="s">
        <v>244</v>
      </c>
      <c r="AD11" s="25" t="s">
        <v>245</v>
      </c>
      <c r="AE11" s="25" t="s">
        <v>246</v>
      </c>
      <c r="AF11" s="25" t="s">
        <v>247</v>
      </c>
      <c r="AG11" s="25" t="s">
        <v>248</v>
      </c>
      <c r="AH11" s="25" t="s">
        <v>249</v>
      </c>
      <c r="BH11" s="25" t="s">
        <v>273</v>
      </c>
      <c r="BI11" s="25" t="s">
        <v>274</v>
      </c>
      <c r="BJ11" s="25" t="s">
        <v>275</v>
      </c>
    </row>
    <row r="12" spans="1:47" ht="12.75">
      <c r="A12" s="3"/>
      <c r="B12" s="12" t="s">
        <v>66</v>
      </c>
      <c r="C12" s="96" t="s">
        <v>141</v>
      </c>
      <c r="D12" s="97"/>
      <c r="E12" s="97"/>
      <c r="F12" s="97"/>
      <c r="G12" s="97"/>
      <c r="H12" s="97"/>
      <c r="I12" s="3" t="s">
        <v>6</v>
      </c>
      <c r="J12" s="3" t="s">
        <v>6</v>
      </c>
      <c r="K12" s="3" t="s">
        <v>6</v>
      </c>
      <c r="L12" s="30">
        <f>SUM(L13:L15)</f>
        <v>0</v>
      </c>
      <c r="AI12" s="25"/>
      <c r="AS12" s="31">
        <f>SUM(AJ13:AJ15)</f>
        <v>0</v>
      </c>
      <c r="AT12" s="31">
        <f>SUM(AK13:AK15)</f>
        <v>0</v>
      </c>
      <c r="AU12" s="31">
        <f>SUM(AL13:AL15)</f>
        <v>0</v>
      </c>
    </row>
    <row r="13" spans="1:62" ht="12.75">
      <c r="A13" s="4" t="s">
        <v>7</v>
      </c>
      <c r="B13" s="4" t="s">
        <v>67</v>
      </c>
      <c r="C13" s="98" t="s">
        <v>142</v>
      </c>
      <c r="D13" s="99"/>
      <c r="E13" s="99"/>
      <c r="F13" s="99"/>
      <c r="G13" s="99"/>
      <c r="H13" s="99"/>
      <c r="I13" s="4" t="s">
        <v>227</v>
      </c>
      <c r="J13" s="16">
        <v>17.441</v>
      </c>
      <c r="K13" s="16">
        <v>0</v>
      </c>
      <c r="L13" s="16">
        <f>J13*K13</f>
        <v>0</v>
      </c>
      <c r="Z13" s="26">
        <f>IF(AQ13="5",BJ13,0)</f>
        <v>0</v>
      </c>
      <c r="AB13" s="26">
        <f>IF(AQ13="1",BH13,0)</f>
        <v>0</v>
      </c>
      <c r="AC13" s="26">
        <f>IF(AQ13="1",BI13,0)</f>
        <v>0</v>
      </c>
      <c r="AD13" s="26">
        <f>IF(AQ13="7",BH13,0)</f>
        <v>0</v>
      </c>
      <c r="AE13" s="26">
        <f>IF(AQ13="7",BI13,0)</f>
        <v>0</v>
      </c>
      <c r="AF13" s="26">
        <f>IF(AQ13="2",BH13,0)</f>
        <v>0</v>
      </c>
      <c r="AG13" s="26">
        <f>IF(AQ13="2",BI13,0)</f>
        <v>0</v>
      </c>
      <c r="AH13" s="26">
        <f>IF(AQ13="0",BJ13,0)</f>
        <v>0</v>
      </c>
      <c r="AI13" s="25"/>
      <c r="AJ13" s="16">
        <f>IF(AN13=0,L13,0)</f>
        <v>0</v>
      </c>
      <c r="AK13" s="16">
        <f>IF(AN13=15,L13,0)</f>
        <v>0</v>
      </c>
      <c r="AL13" s="16">
        <f>IF(AN13=21,L13,0)</f>
        <v>0</v>
      </c>
      <c r="AN13" s="26">
        <v>21</v>
      </c>
      <c r="AO13" s="26">
        <f>K13*0.130453179470139</f>
        <v>0</v>
      </c>
      <c r="AP13" s="26">
        <f>K13*(1-0.130453179470139)</f>
        <v>0</v>
      </c>
      <c r="AQ13" s="27" t="s">
        <v>7</v>
      </c>
      <c r="AV13" s="26">
        <f>AW13+AX13</f>
        <v>0</v>
      </c>
      <c r="AW13" s="26">
        <f>J13*AO13</f>
        <v>0</v>
      </c>
      <c r="AX13" s="26">
        <f>J13*AP13</f>
        <v>0</v>
      </c>
      <c r="AY13" s="29" t="s">
        <v>250</v>
      </c>
      <c r="AZ13" s="29" t="s">
        <v>265</v>
      </c>
      <c r="BA13" s="25" t="s">
        <v>272</v>
      </c>
      <c r="BC13" s="26">
        <f>AW13+AX13</f>
        <v>0</v>
      </c>
      <c r="BD13" s="26">
        <f>K13/(100-BE13)*100</f>
        <v>0</v>
      </c>
      <c r="BE13" s="26">
        <v>0</v>
      </c>
      <c r="BF13" s="26">
        <f>13</f>
        <v>13</v>
      </c>
      <c r="BH13" s="16">
        <f>J13*AO13</f>
        <v>0</v>
      </c>
      <c r="BI13" s="16">
        <f>J13*AP13</f>
        <v>0</v>
      </c>
      <c r="BJ13" s="16">
        <f>J13*K13</f>
        <v>0</v>
      </c>
    </row>
    <row r="14" spans="1:62" ht="12.75">
      <c r="A14" s="4" t="s">
        <v>8</v>
      </c>
      <c r="B14" s="4" t="s">
        <v>68</v>
      </c>
      <c r="C14" s="98" t="s">
        <v>143</v>
      </c>
      <c r="D14" s="99"/>
      <c r="E14" s="99"/>
      <c r="F14" s="99"/>
      <c r="G14" s="99"/>
      <c r="H14" s="99"/>
      <c r="I14" s="4" t="s">
        <v>227</v>
      </c>
      <c r="J14" s="16">
        <v>7.0906</v>
      </c>
      <c r="K14" s="16">
        <v>0</v>
      </c>
      <c r="L14" s="16">
        <f>J14*K14</f>
        <v>0</v>
      </c>
      <c r="Z14" s="26">
        <f>IF(AQ14="5",BJ14,0)</f>
        <v>0</v>
      </c>
      <c r="AB14" s="26">
        <f>IF(AQ14="1",BH14,0)</f>
        <v>0</v>
      </c>
      <c r="AC14" s="26">
        <f>IF(AQ14="1",BI14,0)</f>
        <v>0</v>
      </c>
      <c r="AD14" s="26">
        <f>IF(AQ14="7",BH14,0)</f>
        <v>0</v>
      </c>
      <c r="AE14" s="26">
        <f>IF(AQ14="7",BI14,0)</f>
        <v>0</v>
      </c>
      <c r="AF14" s="26">
        <f>IF(AQ14="2",BH14,0)</f>
        <v>0</v>
      </c>
      <c r="AG14" s="26">
        <f>IF(AQ14="2",BI14,0)</f>
        <v>0</v>
      </c>
      <c r="AH14" s="26">
        <f>IF(AQ14="0",BJ14,0)</f>
        <v>0</v>
      </c>
      <c r="AI14" s="25"/>
      <c r="AJ14" s="16">
        <f>IF(AN14=0,L14,0)</f>
        <v>0</v>
      </c>
      <c r="AK14" s="16">
        <f>IF(AN14=15,L14,0)</f>
        <v>0</v>
      </c>
      <c r="AL14" s="16">
        <f>IF(AN14=21,L14,0)</f>
        <v>0</v>
      </c>
      <c r="AN14" s="26">
        <v>21</v>
      </c>
      <c r="AO14" s="26">
        <f>K14*0.197252325278002</f>
        <v>0</v>
      </c>
      <c r="AP14" s="26">
        <f>K14*(1-0.197252325278002)</f>
        <v>0</v>
      </c>
      <c r="AQ14" s="27" t="s">
        <v>7</v>
      </c>
      <c r="AV14" s="26">
        <f>AW14+AX14</f>
        <v>0</v>
      </c>
      <c r="AW14" s="26">
        <f>J14*AO14</f>
        <v>0</v>
      </c>
      <c r="AX14" s="26">
        <f>J14*AP14</f>
        <v>0</v>
      </c>
      <c r="AY14" s="29" t="s">
        <v>250</v>
      </c>
      <c r="AZ14" s="29" t="s">
        <v>265</v>
      </c>
      <c r="BA14" s="25" t="s">
        <v>272</v>
      </c>
      <c r="BC14" s="26">
        <f>AW14+AX14</f>
        <v>0</v>
      </c>
      <c r="BD14" s="26">
        <f>K14/(100-BE14)*100</f>
        <v>0</v>
      </c>
      <c r="BE14" s="26">
        <v>0</v>
      </c>
      <c r="BF14" s="26">
        <f>14</f>
        <v>14</v>
      </c>
      <c r="BH14" s="16">
        <f>J14*AO14</f>
        <v>0</v>
      </c>
      <c r="BI14" s="16">
        <f>J14*AP14</f>
        <v>0</v>
      </c>
      <c r="BJ14" s="16">
        <f>J14*K14</f>
        <v>0</v>
      </c>
    </row>
    <row r="15" spans="1:62" ht="12.75">
      <c r="A15" s="4" t="s">
        <v>9</v>
      </c>
      <c r="B15" s="4" t="s">
        <v>69</v>
      </c>
      <c r="C15" s="98" t="s">
        <v>144</v>
      </c>
      <c r="D15" s="99"/>
      <c r="E15" s="99"/>
      <c r="F15" s="99"/>
      <c r="G15" s="99"/>
      <c r="H15" s="99"/>
      <c r="I15" s="4" t="s">
        <v>227</v>
      </c>
      <c r="J15" s="16">
        <v>16.4481</v>
      </c>
      <c r="K15" s="16">
        <v>0</v>
      </c>
      <c r="L15" s="16">
        <f>J15*K15</f>
        <v>0</v>
      </c>
      <c r="Z15" s="26">
        <f>IF(AQ15="5",BJ15,0)</f>
        <v>0</v>
      </c>
      <c r="AB15" s="26">
        <f>IF(AQ15="1",BH15,0)</f>
        <v>0</v>
      </c>
      <c r="AC15" s="26">
        <f>IF(AQ15="1",BI15,0)</f>
        <v>0</v>
      </c>
      <c r="AD15" s="26">
        <f>IF(AQ15="7",BH15,0)</f>
        <v>0</v>
      </c>
      <c r="AE15" s="26">
        <f>IF(AQ15="7",BI15,0)</f>
        <v>0</v>
      </c>
      <c r="AF15" s="26">
        <f>IF(AQ15="2",BH15,0)</f>
        <v>0</v>
      </c>
      <c r="AG15" s="26">
        <f>IF(AQ15="2",BI15,0)</f>
        <v>0</v>
      </c>
      <c r="AH15" s="26">
        <f>IF(AQ15="0",BJ15,0)</f>
        <v>0</v>
      </c>
      <c r="AI15" s="25"/>
      <c r="AJ15" s="16">
        <f>IF(AN15=0,L15,0)</f>
        <v>0</v>
      </c>
      <c r="AK15" s="16">
        <f>IF(AN15=15,L15,0)</f>
        <v>0</v>
      </c>
      <c r="AL15" s="16">
        <f>IF(AN15=21,L15,0)</f>
        <v>0</v>
      </c>
      <c r="AN15" s="26">
        <v>21</v>
      </c>
      <c r="AO15" s="26">
        <f>K15*0.220400267994805</f>
        <v>0</v>
      </c>
      <c r="AP15" s="26">
        <f>K15*(1-0.220400267994805)</f>
        <v>0</v>
      </c>
      <c r="AQ15" s="27" t="s">
        <v>7</v>
      </c>
      <c r="AV15" s="26">
        <f>AW15+AX15</f>
        <v>0</v>
      </c>
      <c r="AW15" s="26">
        <f>J15*AO15</f>
        <v>0</v>
      </c>
      <c r="AX15" s="26">
        <f>J15*AP15</f>
        <v>0</v>
      </c>
      <c r="AY15" s="29" t="s">
        <v>250</v>
      </c>
      <c r="AZ15" s="29" t="s">
        <v>265</v>
      </c>
      <c r="BA15" s="25" t="s">
        <v>272</v>
      </c>
      <c r="BC15" s="26">
        <f>AW15+AX15</f>
        <v>0</v>
      </c>
      <c r="BD15" s="26">
        <f>K15/(100-BE15)*100</f>
        <v>0</v>
      </c>
      <c r="BE15" s="26">
        <v>0</v>
      </c>
      <c r="BF15" s="26">
        <f>15</f>
        <v>15</v>
      </c>
      <c r="BH15" s="16">
        <f>J15*AO15</f>
        <v>0</v>
      </c>
      <c r="BI15" s="16">
        <f>J15*AP15</f>
        <v>0</v>
      </c>
      <c r="BJ15" s="16">
        <f>J15*K15</f>
        <v>0</v>
      </c>
    </row>
    <row r="16" spans="1:47" ht="12.75">
      <c r="A16" s="5"/>
      <c r="B16" s="13" t="s">
        <v>70</v>
      </c>
      <c r="C16" s="100" t="s">
        <v>145</v>
      </c>
      <c r="D16" s="101"/>
      <c r="E16" s="101"/>
      <c r="F16" s="101"/>
      <c r="G16" s="101"/>
      <c r="H16" s="101"/>
      <c r="I16" s="5" t="s">
        <v>6</v>
      </c>
      <c r="J16" s="5" t="s">
        <v>6</v>
      </c>
      <c r="K16" s="5" t="s">
        <v>6</v>
      </c>
      <c r="L16" s="31">
        <f>SUM(L17:L17)</f>
        <v>0</v>
      </c>
      <c r="AI16" s="25"/>
      <c r="AS16" s="31">
        <f>SUM(AJ17:AJ17)</f>
        <v>0</v>
      </c>
      <c r="AT16" s="31">
        <f>SUM(AK17:AK17)</f>
        <v>0</v>
      </c>
      <c r="AU16" s="31">
        <f>SUM(AL17:AL17)</f>
        <v>0</v>
      </c>
    </row>
    <row r="17" spans="1:62" ht="12.75">
      <c r="A17" s="4" t="s">
        <v>10</v>
      </c>
      <c r="B17" s="4" t="s">
        <v>71</v>
      </c>
      <c r="C17" s="98" t="s">
        <v>146</v>
      </c>
      <c r="D17" s="99"/>
      <c r="E17" s="99"/>
      <c r="F17" s="99"/>
      <c r="G17" s="99"/>
      <c r="H17" s="99"/>
      <c r="I17" s="4" t="s">
        <v>227</v>
      </c>
      <c r="J17" s="16">
        <v>7.09</v>
      </c>
      <c r="K17" s="16">
        <v>0</v>
      </c>
      <c r="L17" s="16">
        <f>J17*K17</f>
        <v>0</v>
      </c>
      <c r="Z17" s="26">
        <f>IF(AQ17="5",BJ17,0)</f>
        <v>0</v>
      </c>
      <c r="AB17" s="26">
        <f>IF(AQ17="1",BH17,0)</f>
        <v>0</v>
      </c>
      <c r="AC17" s="26">
        <f>IF(AQ17="1",BI17,0)</f>
        <v>0</v>
      </c>
      <c r="AD17" s="26">
        <f>IF(AQ17="7",BH17,0)</f>
        <v>0</v>
      </c>
      <c r="AE17" s="26">
        <f>IF(AQ17="7",BI17,0)</f>
        <v>0</v>
      </c>
      <c r="AF17" s="26">
        <f>IF(AQ17="2",BH17,0)</f>
        <v>0</v>
      </c>
      <c r="AG17" s="26">
        <f>IF(AQ17="2",BI17,0)</f>
        <v>0</v>
      </c>
      <c r="AH17" s="26">
        <f>IF(AQ17="0",BJ17,0)</f>
        <v>0</v>
      </c>
      <c r="AI17" s="25"/>
      <c r="AJ17" s="16">
        <f>IF(AN17=0,L17,0)</f>
        <v>0</v>
      </c>
      <c r="AK17" s="16">
        <f>IF(AN17=15,L17,0)</f>
        <v>0</v>
      </c>
      <c r="AL17" s="16">
        <f>IF(AN17=21,L17,0)</f>
        <v>0</v>
      </c>
      <c r="AN17" s="26">
        <v>21</v>
      </c>
      <c r="AO17" s="26">
        <f>K17*0.632665059259682</f>
        <v>0</v>
      </c>
      <c r="AP17" s="26">
        <f>K17*(1-0.632665059259682)</f>
        <v>0</v>
      </c>
      <c r="AQ17" s="27" t="s">
        <v>7</v>
      </c>
      <c r="AV17" s="26">
        <f>AW17+AX17</f>
        <v>0</v>
      </c>
      <c r="AW17" s="26">
        <f>J17*AO17</f>
        <v>0</v>
      </c>
      <c r="AX17" s="26">
        <f>J17*AP17</f>
        <v>0</v>
      </c>
      <c r="AY17" s="29" t="s">
        <v>251</v>
      </c>
      <c r="AZ17" s="29" t="s">
        <v>265</v>
      </c>
      <c r="BA17" s="25" t="s">
        <v>272</v>
      </c>
      <c r="BC17" s="26">
        <f>AW17+AX17</f>
        <v>0</v>
      </c>
      <c r="BD17" s="26">
        <f>K17/(100-BE17)*100</f>
        <v>0</v>
      </c>
      <c r="BE17" s="26">
        <v>0</v>
      </c>
      <c r="BF17" s="26">
        <f>17</f>
        <v>17</v>
      </c>
      <c r="BH17" s="16">
        <f>J17*AO17</f>
        <v>0</v>
      </c>
      <c r="BI17" s="16">
        <f>J17*AP17</f>
        <v>0</v>
      </c>
      <c r="BJ17" s="16">
        <f>J17*K17</f>
        <v>0</v>
      </c>
    </row>
    <row r="18" spans="1:47" ht="12.75">
      <c r="A18" s="5"/>
      <c r="B18" s="13" t="s">
        <v>72</v>
      </c>
      <c r="C18" s="100" t="s">
        <v>147</v>
      </c>
      <c r="D18" s="101"/>
      <c r="E18" s="101"/>
      <c r="F18" s="101"/>
      <c r="G18" s="101"/>
      <c r="H18" s="101"/>
      <c r="I18" s="5" t="s">
        <v>6</v>
      </c>
      <c r="J18" s="5" t="s">
        <v>6</v>
      </c>
      <c r="K18" s="5" t="s">
        <v>6</v>
      </c>
      <c r="L18" s="31">
        <f>SUM(L19:L20)</f>
        <v>0</v>
      </c>
      <c r="AI18" s="25"/>
      <c r="AS18" s="31">
        <f>SUM(AJ19:AJ20)</f>
        <v>0</v>
      </c>
      <c r="AT18" s="31">
        <f>SUM(AK19:AK20)</f>
        <v>0</v>
      </c>
      <c r="AU18" s="31">
        <f>SUM(AL19:AL20)</f>
        <v>0</v>
      </c>
    </row>
    <row r="19" spans="1:62" ht="12.75">
      <c r="A19" s="4" t="s">
        <v>11</v>
      </c>
      <c r="B19" s="4" t="s">
        <v>73</v>
      </c>
      <c r="C19" s="98" t="s">
        <v>148</v>
      </c>
      <c r="D19" s="99"/>
      <c r="E19" s="99"/>
      <c r="F19" s="99"/>
      <c r="G19" s="99"/>
      <c r="H19" s="99"/>
      <c r="I19" s="4" t="s">
        <v>227</v>
      </c>
      <c r="J19" s="16">
        <v>12.144</v>
      </c>
      <c r="K19" s="16">
        <v>0</v>
      </c>
      <c r="L19" s="16">
        <f>J19*K19</f>
        <v>0</v>
      </c>
      <c r="Z19" s="26">
        <f>IF(AQ19="5",BJ19,0)</f>
        <v>0</v>
      </c>
      <c r="AB19" s="26">
        <f>IF(AQ19="1",BH19,0)</f>
        <v>0</v>
      </c>
      <c r="AC19" s="26">
        <f>IF(AQ19="1",BI19,0)</f>
        <v>0</v>
      </c>
      <c r="AD19" s="26">
        <f>IF(AQ19="7",BH19,0)</f>
        <v>0</v>
      </c>
      <c r="AE19" s="26">
        <f>IF(AQ19="7",BI19,0)</f>
        <v>0</v>
      </c>
      <c r="AF19" s="26">
        <f>IF(AQ19="2",BH19,0)</f>
        <v>0</v>
      </c>
      <c r="AG19" s="26">
        <f>IF(AQ19="2",BI19,0)</f>
        <v>0</v>
      </c>
      <c r="AH19" s="26">
        <f>IF(AQ19="0",BJ19,0)</f>
        <v>0</v>
      </c>
      <c r="AI19" s="25"/>
      <c r="AJ19" s="16">
        <f>IF(AN19=0,L19,0)</f>
        <v>0</v>
      </c>
      <c r="AK19" s="16">
        <f>IF(AN19=15,L19,0)</f>
        <v>0</v>
      </c>
      <c r="AL19" s="16">
        <f>IF(AN19=21,L19,0)</f>
        <v>0</v>
      </c>
      <c r="AN19" s="26">
        <v>21</v>
      </c>
      <c r="AO19" s="26">
        <f>K19*0.649658201492234</f>
        <v>0</v>
      </c>
      <c r="AP19" s="26">
        <f>K19*(1-0.649658201492234)</f>
        <v>0</v>
      </c>
      <c r="AQ19" s="27" t="s">
        <v>13</v>
      </c>
      <c r="AV19" s="26">
        <f>AW19+AX19</f>
        <v>0</v>
      </c>
      <c r="AW19" s="26">
        <f>J19*AO19</f>
        <v>0</v>
      </c>
      <c r="AX19" s="26">
        <f>J19*AP19</f>
        <v>0</v>
      </c>
      <c r="AY19" s="29" t="s">
        <v>252</v>
      </c>
      <c r="AZ19" s="29" t="s">
        <v>266</v>
      </c>
      <c r="BA19" s="25" t="s">
        <v>272</v>
      </c>
      <c r="BC19" s="26">
        <f>AW19+AX19</f>
        <v>0</v>
      </c>
      <c r="BD19" s="26">
        <f>K19/(100-BE19)*100</f>
        <v>0</v>
      </c>
      <c r="BE19" s="26">
        <v>0</v>
      </c>
      <c r="BF19" s="26">
        <f>19</f>
        <v>19</v>
      </c>
      <c r="BH19" s="16">
        <f>J19*AO19</f>
        <v>0</v>
      </c>
      <c r="BI19" s="16">
        <f>J19*AP19</f>
        <v>0</v>
      </c>
      <c r="BJ19" s="16">
        <f>J19*K19</f>
        <v>0</v>
      </c>
    </row>
    <row r="20" spans="1:62" ht="12.75">
      <c r="A20" s="4" t="s">
        <v>12</v>
      </c>
      <c r="B20" s="4" t="s">
        <v>74</v>
      </c>
      <c r="C20" s="98" t="s">
        <v>149</v>
      </c>
      <c r="D20" s="99"/>
      <c r="E20" s="99"/>
      <c r="F20" s="99"/>
      <c r="G20" s="99"/>
      <c r="H20" s="99"/>
      <c r="I20" s="4" t="s">
        <v>228</v>
      </c>
      <c r="J20" s="16">
        <v>63.8774</v>
      </c>
      <c r="K20" s="16">
        <v>0</v>
      </c>
      <c r="L20" s="16">
        <f>J20*K20</f>
        <v>0</v>
      </c>
      <c r="Z20" s="26">
        <f>IF(AQ20="5",BJ20,0)</f>
        <v>0</v>
      </c>
      <c r="AB20" s="26">
        <f>IF(AQ20="1",BH20,0)</f>
        <v>0</v>
      </c>
      <c r="AC20" s="26">
        <f>IF(AQ20="1",BI20,0)</f>
        <v>0</v>
      </c>
      <c r="AD20" s="26">
        <f>IF(AQ20="7",BH20,0)</f>
        <v>0</v>
      </c>
      <c r="AE20" s="26">
        <f>IF(AQ20="7",BI20,0)</f>
        <v>0</v>
      </c>
      <c r="AF20" s="26">
        <f>IF(AQ20="2",BH20,0)</f>
        <v>0</v>
      </c>
      <c r="AG20" s="26">
        <f>IF(AQ20="2",BI20,0)</f>
        <v>0</v>
      </c>
      <c r="AH20" s="26">
        <f>IF(AQ20="0",BJ20,0)</f>
        <v>0</v>
      </c>
      <c r="AI20" s="25"/>
      <c r="AJ20" s="16">
        <f>IF(AN20=0,L20,0)</f>
        <v>0</v>
      </c>
      <c r="AK20" s="16">
        <f>IF(AN20=15,L20,0)</f>
        <v>0</v>
      </c>
      <c r="AL20" s="16">
        <f>IF(AN20=21,L20,0)</f>
        <v>0</v>
      </c>
      <c r="AN20" s="26">
        <v>21</v>
      </c>
      <c r="AO20" s="26">
        <f>K20*0</f>
        <v>0</v>
      </c>
      <c r="AP20" s="26">
        <f>K20*(1-0)</f>
        <v>0</v>
      </c>
      <c r="AQ20" s="27" t="s">
        <v>11</v>
      </c>
      <c r="AV20" s="26">
        <f>AW20+AX20</f>
        <v>0</v>
      </c>
      <c r="AW20" s="26">
        <f>J20*AO20</f>
        <v>0</v>
      </c>
      <c r="AX20" s="26">
        <f>J20*AP20</f>
        <v>0</v>
      </c>
      <c r="AY20" s="29" t="s">
        <v>252</v>
      </c>
      <c r="AZ20" s="29" t="s">
        <v>266</v>
      </c>
      <c r="BA20" s="25" t="s">
        <v>272</v>
      </c>
      <c r="BC20" s="26">
        <f>AW20+AX20</f>
        <v>0</v>
      </c>
      <c r="BD20" s="26">
        <f>K20/(100-BE20)*100</f>
        <v>0</v>
      </c>
      <c r="BE20" s="26">
        <v>0</v>
      </c>
      <c r="BF20" s="26">
        <f>20</f>
        <v>20</v>
      </c>
      <c r="BH20" s="16">
        <f>J20*AO20</f>
        <v>0</v>
      </c>
      <c r="BI20" s="16">
        <f>J20*AP20</f>
        <v>0</v>
      </c>
      <c r="BJ20" s="16">
        <f>J20*K20</f>
        <v>0</v>
      </c>
    </row>
    <row r="21" spans="1:47" ht="12.75">
      <c r="A21" s="5"/>
      <c r="B21" s="13" t="s">
        <v>75</v>
      </c>
      <c r="C21" s="100" t="s">
        <v>150</v>
      </c>
      <c r="D21" s="101"/>
      <c r="E21" s="101"/>
      <c r="F21" s="101"/>
      <c r="G21" s="101"/>
      <c r="H21" s="101"/>
      <c r="I21" s="5" t="s">
        <v>6</v>
      </c>
      <c r="J21" s="5" t="s">
        <v>6</v>
      </c>
      <c r="K21" s="5" t="s">
        <v>6</v>
      </c>
      <c r="L21" s="31">
        <f>SUM(L22:L24)</f>
        <v>0</v>
      </c>
      <c r="AI21" s="25"/>
      <c r="AS21" s="31">
        <f>SUM(AJ22:AJ24)</f>
        <v>0</v>
      </c>
      <c r="AT21" s="31">
        <f>SUM(AK22:AK24)</f>
        <v>0</v>
      </c>
      <c r="AU21" s="31">
        <f>SUM(AL22:AL24)</f>
        <v>0</v>
      </c>
    </row>
    <row r="22" spans="1:62" ht="12.75">
      <c r="A22" s="4" t="s">
        <v>13</v>
      </c>
      <c r="B22" s="4" t="s">
        <v>76</v>
      </c>
      <c r="C22" s="98" t="s">
        <v>151</v>
      </c>
      <c r="D22" s="99"/>
      <c r="E22" s="99"/>
      <c r="F22" s="99"/>
      <c r="G22" s="99"/>
      <c r="H22" s="99"/>
      <c r="I22" s="4" t="s">
        <v>229</v>
      </c>
      <c r="J22" s="16">
        <v>2</v>
      </c>
      <c r="K22" s="16">
        <v>0</v>
      </c>
      <c r="L22" s="16">
        <f>J22*K22</f>
        <v>0</v>
      </c>
      <c r="Z22" s="26">
        <f>IF(AQ22="5",BJ22,0)</f>
        <v>0</v>
      </c>
      <c r="AB22" s="26">
        <f>IF(AQ22="1",BH22,0)</f>
        <v>0</v>
      </c>
      <c r="AC22" s="26">
        <f>IF(AQ22="1",BI22,0)</f>
        <v>0</v>
      </c>
      <c r="AD22" s="26">
        <f>IF(AQ22="7",BH22,0)</f>
        <v>0</v>
      </c>
      <c r="AE22" s="26">
        <f>IF(AQ22="7",BI22,0)</f>
        <v>0</v>
      </c>
      <c r="AF22" s="26">
        <f>IF(AQ22="2",BH22,0)</f>
        <v>0</v>
      </c>
      <c r="AG22" s="26">
        <f>IF(AQ22="2",BI22,0)</f>
        <v>0</v>
      </c>
      <c r="AH22" s="26">
        <f>IF(AQ22="0",BJ22,0)</f>
        <v>0</v>
      </c>
      <c r="AI22" s="25"/>
      <c r="AJ22" s="16">
        <f>IF(AN22=0,L22,0)</f>
        <v>0</v>
      </c>
      <c r="AK22" s="16">
        <f>IF(AN22=15,L22,0)</f>
        <v>0</v>
      </c>
      <c r="AL22" s="16">
        <f>IF(AN22=21,L22,0)</f>
        <v>0</v>
      </c>
      <c r="AN22" s="26">
        <v>21</v>
      </c>
      <c r="AO22" s="26">
        <f>K22*0</f>
        <v>0</v>
      </c>
      <c r="AP22" s="26">
        <f>K22*(1-0)</f>
        <v>0</v>
      </c>
      <c r="AQ22" s="27" t="s">
        <v>13</v>
      </c>
      <c r="AV22" s="26">
        <f>AW22+AX22</f>
        <v>0</v>
      </c>
      <c r="AW22" s="26">
        <f>J22*AO22</f>
        <v>0</v>
      </c>
      <c r="AX22" s="26">
        <f>J22*AP22</f>
        <v>0</v>
      </c>
      <c r="AY22" s="29" t="s">
        <v>253</v>
      </c>
      <c r="AZ22" s="29" t="s">
        <v>267</v>
      </c>
      <c r="BA22" s="25" t="s">
        <v>272</v>
      </c>
      <c r="BC22" s="26">
        <f>AW22+AX22</f>
        <v>0</v>
      </c>
      <c r="BD22" s="26">
        <f>K22/(100-BE22)*100</f>
        <v>0</v>
      </c>
      <c r="BE22" s="26">
        <v>0</v>
      </c>
      <c r="BF22" s="26">
        <f>22</f>
        <v>22</v>
      </c>
      <c r="BH22" s="16">
        <f>J22*AO22</f>
        <v>0</v>
      </c>
      <c r="BI22" s="16">
        <f>J22*AP22</f>
        <v>0</v>
      </c>
      <c r="BJ22" s="16">
        <f>J22*K22</f>
        <v>0</v>
      </c>
    </row>
    <row r="23" spans="1:62" ht="12.75">
      <c r="A23" s="4" t="s">
        <v>14</v>
      </c>
      <c r="B23" s="4" t="s">
        <v>77</v>
      </c>
      <c r="C23" s="98" t="s">
        <v>152</v>
      </c>
      <c r="D23" s="99"/>
      <c r="E23" s="99"/>
      <c r="F23" s="99"/>
      <c r="G23" s="99"/>
      <c r="H23" s="99"/>
      <c r="I23" s="4" t="s">
        <v>229</v>
      </c>
      <c r="J23" s="16">
        <v>2</v>
      </c>
      <c r="K23" s="16">
        <v>0</v>
      </c>
      <c r="L23" s="16">
        <f>J23*K23</f>
        <v>0</v>
      </c>
      <c r="Z23" s="26">
        <f>IF(AQ23="5",BJ23,0)</f>
        <v>0</v>
      </c>
      <c r="AB23" s="26">
        <f>IF(AQ23="1",BH23,0)</f>
        <v>0</v>
      </c>
      <c r="AC23" s="26">
        <f>IF(AQ23="1",BI23,0)</f>
        <v>0</v>
      </c>
      <c r="AD23" s="26">
        <f>IF(AQ23="7",BH23,0)</f>
        <v>0</v>
      </c>
      <c r="AE23" s="26">
        <f>IF(AQ23="7",BI23,0)</f>
        <v>0</v>
      </c>
      <c r="AF23" s="26">
        <f>IF(AQ23="2",BH23,0)</f>
        <v>0</v>
      </c>
      <c r="AG23" s="26">
        <f>IF(AQ23="2",BI23,0)</f>
        <v>0</v>
      </c>
      <c r="AH23" s="26">
        <f>IF(AQ23="0",BJ23,0)</f>
        <v>0</v>
      </c>
      <c r="AI23" s="25"/>
      <c r="AJ23" s="16">
        <f>IF(AN23=0,L23,0)</f>
        <v>0</v>
      </c>
      <c r="AK23" s="16">
        <f>IF(AN23=15,L23,0)</f>
        <v>0</v>
      </c>
      <c r="AL23" s="16">
        <f>IF(AN23=21,L23,0)</f>
        <v>0</v>
      </c>
      <c r="AN23" s="26">
        <v>21</v>
      </c>
      <c r="AO23" s="26">
        <f>K23*0.875078299776286</f>
        <v>0</v>
      </c>
      <c r="AP23" s="26">
        <f>K23*(1-0.875078299776286)</f>
        <v>0</v>
      </c>
      <c r="AQ23" s="27" t="s">
        <v>13</v>
      </c>
      <c r="AV23" s="26">
        <f>AW23+AX23</f>
        <v>0</v>
      </c>
      <c r="AW23" s="26">
        <f>J23*AO23</f>
        <v>0</v>
      </c>
      <c r="AX23" s="26">
        <f>J23*AP23</f>
        <v>0</v>
      </c>
      <c r="AY23" s="29" t="s">
        <v>253</v>
      </c>
      <c r="AZ23" s="29" t="s">
        <v>267</v>
      </c>
      <c r="BA23" s="25" t="s">
        <v>272</v>
      </c>
      <c r="BC23" s="26">
        <f>AW23+AX23</f>
        <v>0</v>
      </c>
      <c r="BD23" s="26">
        <f>K23/(100-BE23)*100</f>
        <v>0</v>
      </c>
      <c r="BE23" s="26">
        <v>0</v>
      </c>
      <c r="BF23" s="26">
        <f>23</f>
        <v>23</v>
      </c>
      <c r="BH23" s="16">
        <f>J23*AO23</f>
        <v>0</v>
      </c>
      <c r="BI23" s="16">
        <f>J23*AP23</f>
        <v>0</v>
      </c>
      <c r="BJ23" s="16">
        <f>J23*K23</f>
        <v>0</v>
      </c>
    </row>
    <row r="24" spans="1:62" ht="12.75">
      <c r="A24" s="4" t="s">
        <v>15</v>
      </c>
      <c r="B24" s="4" t="s">
        <v>78</v>
      </c>
      <c r="C24" s="98" t="s">
        <v>153</v>
      </c>
      <c r="D24" s="99"/>
      <c r="E24" s="99"/>
      <c r="F24" s="99"/>
      <c r="G24" s="99"/>
      <c r="H24" s="99"/>
      <c r="I24" s="4" t="s">
        <v>228</v>
      </c>
      <c r="J24" s="16">
        <v>29.3</v>
      </c>
      <c r="K24" s="16">
        <v>0</v>
      </c>
      <c r="L24" s="16">
        <f>J24*K24</f>
        <v>0</v>
      </c>
      <c r="Z24" s="26">
        <f>IF(AQ24="5",BJ24,0)</f>
        <v>0</v>
      </c>
      <c r="AB24" s="26">
        <f>IF(AQ24="1",BH24,0)</f>
        <v>0</v>
      </c>
      <c r="AC24" s="26">
        <f>IF(AQ24="1",BI24,0)</f>
        <v>0</v>
      </c>
      <c r="AD24" s="26">
        <f>IF(AQ24="7",BH24,0)</f>
        <v>0</v>
      </c>
      <c r="AE24" s="26">
        <f>IF(AQ24="7",BI24,0)</f>
        <v>0</v>
      </c>
      <c r="AF24" s="26">
        <f>IF(AQ24="2",BH24,0)</f>
        <v>0</v>
      </c>
      <c r="AG24" s="26">
        <f>IF(AQ24="2",BI24,0)</f>
        <v>0</v>
      </c>
      <c r="AH24" s="26">
        <f>IF(AQ24="0",BJ24,0)</f>
        <v>0</v>
      </c>
      <c r="AI24" s="25"/>
      <c r="AJ24" s="16">
        <f>IF(AN24=0,L24,0)</f>
        <v>0</v>
      </c>
      <c r="AK24" s="16">
        <f>IF(AN24=15,L24,0)</f>
        <v>0</v>
      </c>
      <c r="AL24" s="16">
        <f>IF(AN24=21,L24,0)</f>
        <v>0</v>
      </c>
      <c r="AN24" s="26">
        <v>21</v>
      </c>
      <c r="AO24" s="26">
        <f>K24*0</f>
        <v>0</v>
      </c>
      <c r="AP24" s="26">
        <f>K24*(1-0)</f>
        <v>0</v>
      </c>
      <c r="AQ24" s="27" t="s">
        <v>11</v>
      </c>
      <c r="AV24" s="26">
        <f>AW24+AX24</f>
        <v>0</v>
      </c>
      <c r="AW24" s="26">
        <f>J24*AO24</f>
        <v>0</v>
      </c>
      <c r="AX24" s="26">
        <f>J24*AP24</f>
        <v>0</v>
      </c>
      <c r="AY24" s="29" t="s">
        <v>253</v>
      </c>
      <c r="AZ24" s="29" t="s">
        <v>267</v>
      </c>
      <c r="BA24" s="25" t="s">
        <v>272</v>
      </c>
      <c r="BC24" s="26">
        <f>AW24+AX24</f>
        <v>0</v>
      </c>
      <c r="BD24" s="26">
        <f>K24/(100-BE24)*100</f>
        <v>0</v>
      </c>
      <c r="BE24" s="26">
        <v>0</v>
      </c>
      <c r="BF24" s="26">
        <f>24</f>
        <v>24</v>
      </c>
      <c r="BH24" s="16">
        <f>J24*AO24</f>
        <v>0</v>
      </c>
      <c r="BI24" s="16">
        <f>J24*AP24</f>
        <v>0</v>
      </c>
      <c r="BJ24" s="16">
        <f>J24*K24</f>
        <v>0</v>
      </c>
    </row>
    <row r="25" spans="1:47" ht="12.75">
      <c r="A25" s="5"/>
      <c r="B25" s="13" t="s">
        <v>79</v>
      </c>
      <c r="C25" s="100" t="s">
        <v>154</v>
      </c>
      <c r="D25" s="101"/>
      <c r="E25" s="101"/>
      <c r="F25" s="101"/>
      <c r="G25" s="101"/>
      <c r="H25" s="101"/>
      <c r="I25" s="5" t="s">
        <v>6</v>
      </c>
      <c r="J25" s="5" t="s">
        <v>6</v>
      </c>
      <c r="K25" s="5" t="s">
        <v>6</v>
      </c>
      <c r="L25" s="31">
        <f>SUM(L26:L41)</f>
        <v>0</v>
      </c>
      <c r="AI25" s="25"/>
      <c r="AS25" s="31">
        <f>SUM(AJ26:AJ41)</f>
        <v>0</v>
      </c>
      <c r="AT25" s="31">
        <f>SUM(AK26:AK41)</f>
        <v>0</v>
      </c>
      <c r="AU25" s="31">
        <f>SUM(AL26:AL41)</f>
        <v>0</v>
      </c>
    </row>
    <row r="26" spans="1:62" ht="12.75">
      <c r="A26" s="4" t="s">
        <v>16</v>
      </c>
      <c r="B26" s="4" t="s">
        <v>80</v>
      </c>
      <c r="C26" s="98" t="s">
        <v>155</v>
      </c>
      <c r="D26" s="99"/>
      <c r="E26" s="99"/>
      <c r="F26" s="99"/>
      <c r="G26" s="99"/>
      <c r="H26" s="99"/>
      <c r="I26" s="4" t="s">
        <v>230</v>
      </c>
      <c r="J26" s="16">
        <v>3</v>
      </c>
      <c r="K26" s="16">
        <v>0</v>
      </c>
      <c r="L26" s="16">
        <f aca="true" t="shared" si="0" ref="L26:L41">J26*K26</f>
        <v>0</v>
      </c>
      <c r="Z26" s="26">
        <f aca="true" t="shared" si="1" ref="Z26:Z41">IF(AQ26="5",BJ26,0)</f>
        <v>0</v>
      </c>
      <c r="AB26" s="26">
        <f aca="true" t="shared" si="2" ref="AB26:AB41">IF(AQ26="1",BH26,0)</f>
        <v>0</v>
      </c>
      <c r="AC26" s="26">
        <f aca="true" t="shared" si="3" ref="AC26:AC41">IF(AQ26="1",BI26,0)</f>
        <v>0</v>
      </c>
      <c r="AD26" s="26">
        <f aca="true" t="shared" si="4" ref="AD26:AD41">IF(AQ26="7",BH26,0)</f>
        <v>0</v>
      </c>
      <c r="AE26" s="26">
        <f aca="true" t="shared" si="5" ref="AE26:AE41">IF(AQ26="7",BI26,0)</f>
        <v>0</v>
      </c>
      <c r="AF26" s="26">
        <f aca="true" t="shared" si="6" ref="AF26:AF41">IF(AQ26="2",BH26,0)</f>
        <v>0</v>
      </c>
      <c r="AG26" s="26">
        <f aca="true" t="shared" si="7" ref="AG26:AG41">IF(AQ26="2",BI26,0)</f>
        <v>0</v>
      </c>
      <c r="AH26" s="26">
        <f aca="true" t="shared" si="8" ref="AH26:AH41">IF(AQ26="0",BJ26,0)</f>
        <v>0</v>
      </c>
      <c r="AI26" s="25"/>
      <c r="AJ26" s="16">
        <f aca="true" t="shared" si="9" ref="AJ26:AJ41">IF(AN26=0,L26,0)</f>
        <v>0</v>
      </c>
      <c r="AK26" s="16">
        <f aca="true" t="shared" si="10" ref="AK26:AK41">IF(AN26=15,L26,0)</f>
        <v>0</v>
      </c>
      <c r="AL26" s="16">
        <f aca="true" t="shared" si="11" ref="AL26:AL41">IF(AN26=21,L26,0)</f>
        <v>0</v>
      </c>
      <c r="AN26" s="26">
        <v>21</v>
      </c>
      <c r="AO26" s="26">
        <f>K26*0</f>
        <v>0</v>
      </c>
      <c r="AP26" s="26">
        <f>K26*(1-0)</f>
        <v>0</v>
      </c>
      <c r="AQ26" s="27" t="s">
        <v>13</v>
      </c>
      <c r="AV26" s="26">
        <f aca="true" t="shared" si="12" ref="AV26:AV41">AW26+AX26</f>
        <v>0</v>
      </c>
      <c r="AW26" s="26">
        <f aca="true" t="shared" si="13" ref="AW26:AW41">J26*AO26</f>
        <v>0</v>
      </c>
      <c r="AX26" s="26">
        <f aca="true" t="shared" si="14" ref="AX26:AX41">J26*AP26</f>
        <v>0</v>
      </c>
      <c r="AY26" s="29" t="s">
        <v>254</v>
      </c>
      <c r="AZ26" s="29" t="s">
        <v>267</v>
      </c>
      <c r="BA26" s="25" t="s">
        <v>272</v>
      </c>
      <c r="BC26" s="26">
        <f aca="true" t="shared" si="15" ref="BC26:BC41">AW26+AX26</f>
        <v>0</v>
      </c>
      <c r="BD26" s="26">
        <f aca="true" t="shared" si="16" ref="BD26:BD41">K26/(100-BE26)*100</f>
        <v>0</v>
      </c>
      <c r="BE26" s="26">
        <v>0</v>
      </c>
      <c r="BF26" s="26">
        <f>26</f>
        <v>26</v>
      </c>
      <c r="BH26" s="16">
        <f aca="true" t="shared" si="17" ref="BH26:BH41">J26*AO26</f>
        <v>0</v>
      </c>
      <c r="BI26" s="16">
        <f aca="true" t="shared" si="18" ref="BI26:BI41">J26*AP26</f>
        <v>0</v>
      </c>
      <c r="BJ26" s="16">
        <f aca="true" t="shared" si="19" ref="BJ26:BJ41">J26*K26</f>
        <v>0</v>
      </c>
    </row>
    <row r="27" spans="1:62" ht="12.75">
      <c r="A27" s="4" t="s">
        <v>17</v>
      </c>
      <c r="B27" s="4" t="s">
        <v>81</v>
      </c>
      <c r="C27" s="98" t="s">
        <v>156</v>
      </c>
      <c r="D27" s="99"/>
      <c r="E27" s="99"/>
      <c r="F27" s="99"/>
      <c r="G27" s="99"/>
      <c r="H27" s="99"/>
      <c r="I27" s="4" t="s">
        <v>230</v>
      </c>
      <c r="J27" s="16">
        <v>3</v>
      </c>
      <c r="K27" s="16">
        <v>0</v>
      </c>
      <c r="L27" s="16">
        <f t="shared" si="0"/>
        <v>0</v>
      </c>
      <c r="Z27" s="26">
        <f t="shared" si="1"/>
        <v>0</v>
      </c>
      <c r="AB27" s="26">
        <f t="shared" si="2"/>
        <v>0</v>
      </c>
      <c r="AC27" s="26">
        <f t="shared" si="3"/>
        <v>0</v>
      </c>
      <c r="AD27" s="26">
        <f t="shared" si="4"/>
        <v>0</v>
      </c>
      <c r="AE27" s="26">
        <f t="shared" si="5"/>
        <v>0</v>
      </c>
      <c r="AF27" s="26">
        <f t="shared" si="6"/>
        <v>0</v>
      </c>
      <c r="AG27" s="26">
        <f t="shared" si="7"/>
        <v>0</v>
      </c>
      <c r="AH27" s="26">
        <f t="shared" si="8"/>
        <v>0</v>
      </c>
      <c r="AI27" s="25"/>
      <c r="AJ27" s="16">
        <f t="shared" si="9"/>
        <v>0</v>
      </c>
      <c r="AK27" s="16">
        <f t="shared" si="10"/>
        <v>0</v>
      </c>
      <c r="AL27" s="16">
        <f t="shared" si="11"/>
        <v>0</v>
      </c>
      <c r="AN27" s="26">
        <v>21</v>
      </c>
      <c r="AO27" s="26">
        <f>K27*0.383627954779034</f>
        <v>0</v>
      </c>
      <c r="AP27" s="26">
        <f>K27*(1-0.383627954779034)</f>
        <v>0</v>
      </c>
      <c r="AQ27" s="27" t="s">
        <v>13</v>
      </c>
      <c r="AV27" s="26">
        <f t="shared" si="12"/>
        <v>0</v>
      </c>
      <c r="AW27" s="26">
        <f t="shared" si="13"/>
        <v>0</v>
      </c>
      <c r="AX27" s="26">
        <f t="shared" si="14"/>
        <v>0</v>
      </c>
      <c r="AY27" s="29" t="s">
        <v>254</v>
      </c>
      <c r="AZ27" s="29" t="s">
        <v>267</v>
      </c>
      <c r="BA27" s="25" t="s">
        <v>272</v>
      </c>
      <c r="BC27" s="26">
        <f t="shared" si="15"/>
        <v>0</v>
      </c>
      <c r="BD27" s="26">
        <f t="shared" si="16"/>
        <v>0</v>
      </c>
      <c r="BE27" s="26">
        <v>0</v>
      </c>
      <c r="BF27" s="26">
        <f>27</f>
        <v>27</v>
      </c>
      <c r="BH27" s="16">
        <f t="shared" si="17"/>
        <v>0</v>
      </c>
      <c r="BI27" s="16">
        <f t="shared" si="18"/>
        <v>0</v>
      </c>
      <c r="BJ27" s="16">
        <f t="shared" si="19"/>
        <v>0</v>
      </c>
    </row>
    <row r="28" spans="1:62" ht="12.75">
      <c r="A28" s="6" t="s">
        <v>18</v>
      </c>
      <c r="B28" s="6" t="s">
        <v>82</v>
      </c>
      <c r="C28" s="102" t="s">
        <v>157</v>
      </c>
      <c r="D28" s="103"/>
      <c r="E28" s="103"/>
      <c r="F28" s="103"/>
      <c r="G28" s="103"/>
      <c r="H28" s="103"/>
      <c r="I28" s="6" t="s">
        <v>229</v>
      </c>
      <c r="J28" s="17">
        <v>3</v>
      </c>
      <c r="K28" s="17">
        <v>0</v>
      </c>
      <c r="L28" s="17">
        <f t="shared" si="0"/>
        <v>0</v>
      </c>
      <c r="Z28" s="26">
        <f t="shared" si="1"/>
        <v>0</v>
      </c>
      <c r="AB28" s="26">
        <f t="shared" si="2"/>
        <v>0</v>
      </c>
      <c r="AC28" s="26">
        <f t="shared" si="3"/>
        <v>0</v>
      </c>
      <c r="AD28" s="26">
        <f t="shared" si="4"/>
        <v>0</v>
      </c>
      <c r="AE28" s="26">
        <f t="shared" si="5"/>
        <v>0</v>
      </c>
      <c r="AF28" s="26">
        <f t="shared" si="6"/>
        <v>0</v>
      </c>
      <c r="AG28" s="26">
        <f t="shared" si="7"/>
        <v>0</v>
      </c>
      <c r="AH28" s="26">
        <f t="shared" si="8"/>
        <v>0</v>
      </c>
      <c r="AI28" s="25"/>
      <c r="AJ28" s="17">
        <f t="shared" si="9"/>
        <v>0</v>
      </c>
      <c r="AK28" s="17">
        <f t="shared" si="10"/>
        <v>0</v>
      </c>
      <c r="AL28" s="17">
        <f t="shared" si="11"/>
        <v>0</v>
      </c>
      <c r="AN28" s="26">
        <v>21</v>
      </c>
      <c r="AO28" s="26">
        <f>K28*1</f>
        <v>0</v>
      </c>
      <c r="AP28" s="26">
        <f>K28*(1-1)</f>
        <v>0</v>
      </c>
      <c r="AQ28" s="28" t="s">
        <v>13</v>
      </c>
      <c r="AV28" s="26">
        <f t="shared" si="12"/>
        <v>0</v>
      </c>
      <c r="AW28" s="26">
        <f t="shared" si="13"/>
        <v>0</v>
      </c>
      <c r="AX28" s="26">
        <f t="shared" si="14"/>
        <v>0</v>
      </c>
      <c r="AY28" s="29" t="s">
        <v>254</v>
      </c>
      <c r="AZ28" s="29" t="s">
        <v>267</v>
      </c>
      <c r="BA28" s="25" t="s">
        <v>272</v>
      </c>
      <c r="BC28" s="26">
        <f t="shared" si="15"/>
        <v>0</v>
      </c>
      <c r="BD28" s="26">
        <f t="shared" si="16"/>
        <v>0</v>
      </c>
      <c r="BE28" s="26">
        <v>0</v>
      </c>
      <c r="BF28" s="26">
        <f>28</f>
        <v>28</v>
      </c>
      <c r="BH28" s="17">
        <f t="shared" si="17"/>
        <v>0</v>
      </c>
      <c r="BI28" s="17">
        <f t="shared" si="18"/>
        <v>0</v>
      </c>
      <c r="BJ28" s="17">
        <f t="shared" si="19"/>
        <v>0</v>
      </c>
    </row>
    <row r="29" spans="1:62" ht="12.75">
      <c r="A29" s="6" t="s">
        <v>19</v>
      </c>
      <c r="B29" s="6" t="s">
        <v>83</v>
      </c>
      <c r="C29" s="102" t="s">
        <v>158</v>
      </c>
      <c r="D29" s="103"/>
      <c r="E29" s="103"/>
      <c r="F29" s="103"/>
      <c r="G29" s="103"/>
      <c r="H29" s="103"/>
      <c r="I29" s="6" t="s">
        <v>229</v>
      </c>
      <c r="J29" s="17">
        <v>3</v>
      </c>
      <c r="K29" s="17">
        <v>0</v>
      </c>
      <c r="L29" s="17">
        <f t="shared" si="0"/>
        <v>0</v>
      </c>
      <c r="Z29" s="26">
        <f t="shared" si="1"/>
        <v>0</v>
      </c>
      <c r="AB29" s="26">
        <f t="shared" si="2"/>
        <v>0</v>
      </c>
      <c r="AC29" s="26">
        <f t="shared" si="3"/>
        <v>0</v>
      </c>
      <c r="AD29" s="26">
        <f t="shared" si="4"/>
        <v>0</v>
      </c>
      <c r="AE29" s="26">
        <f t="shared" si="5"/>
        <v>0</v>
      </c>
      <c r="AF29" s="26">
        <f t="shared" si="6"/>
        <v>0</v>
      </c>
      <c r="AG29" s="26">
        <f t="shared" si="7"/>
        <v>0</v>
      </c>
      <c r="AH29" s="26">
        <f t="shared" si="8"/>
        <v>0</v>
      </c>
      <c r="AI29" s="25"/>
      <c r="AJ29" s="17">
        <f t="shared" si="9"/>
        <v>0</v>
      </c>
      <c r="AK29" s="17">
        <f t="shared" si="10"/>
        <v>0</v>
      </c>
      <c r="AL29" s="17">
        <f t="shared" si="11"/>
        <v>0</v>
      </c>
      <c r="AN29" s="26">
        <v>21</v>
      </c>
      <c r="AO29" s="26">
        <f>K29*1</f>
        <v>0</v>
      </c>
      <c r="AP29" s="26">
        <f>K29*(1-1)</f>
        <v>0</v>
      </c>
      <c r="AQ29" s="28" t="s">
        <v>13</v>
      </c>
      <c r="AV29" s="26">
        <f t="shared" si="12"/>
        <v>0</v>
      </c>
      <c r="AW29" s="26">
        <f t="shared" si="13"/>
        <v>0</v>
      </c>
      <c r="AX29" s="26">
        <f t="shared" si="14"/>
        <v>0</v>
      </c>
      <c r="AY29" s="29" t="s">
        <v>254</v>
      </c>
      <c r="AZ29" s="29" t="s">
        <v>267</v>
      </c>
      <c r="BA29" s="25" t="s">
        <v>272</v>
      </c>
      <c r="BC29" s="26">
        <f t="shared" si="15"/>
        <v>0</v>
      </c>
      <c r="BD29" s="26">
        <f t="shared" si="16"/>
        <v>0</v>
      </c>
      <c r="BE29" s="26">
        <v>0</v>
      </c>
      <c r="BF29" s="26">
        <f>29</f>
        <v>29</v>
      </c>
      <c r="BH29" s="17">
        <f t="shared" si="17"/>
        <v>0</v>
      </c>
      <c r="BI29" s="17">
        <f t="shared" si="18"/>
        <v>0</v>
      </c>
      <c r="BJ29" s="17">
        <f t="shared" si="19"/>
        <v>0</v>
      </c>
    </row>
    <row r="30" spans="1:62" ht="12.75">
      <c r="A30" s="6" t="s">
        <v>20</v>
      </c>
      <c r="B30" s="6" t="s">
        <v>84</v>
      </c>
      <c r="C30" s="102" t="s">
        <v>159</v>
      </c>
      <c r="D30" s="103"/>
      <c r="E30" s="103"/>
      <c r="F30" s="103"/>
      <c r="G30" s="103"/>
      <c r="H30" s="103"/>
      <c r="I30" s="6" t="s">
        <v>231</v>
      </c>
      <c r="J30" s="17">
        <v>3</v>
      </c>
      <c r="K30" s="17">
        <v>0</v>
      </c>
      <c r="L30" s="17">
        <f t="shared" si="0"/>
        <v>0</v>
      </c>
      <c r="Z30" s="26">
        <f t="shared" si="1"/>
        <v>0</v>
      </c>
      <c r="AB30" s="26">
        <f t="shared" si="2"/>
        <v>0</v>
      </c>
      <c r="AC30" s="26">
        <f t="shared" si="3"/>
        <v>0</v>
      </c>
      <c r="AD30" s="26">
        <f t="shared" si="4"/>
        <v>0</v>
      </c>
      <c r="AE30" s="26">
        <f t="shared" si="5"/>
        <v>0</v>
      </c>
      <c r="AF30" s="26">
        <f t="shared" si="6"/>
        <v>0</v>
      </c>
      <c r="AG30" s="26">
        <f t="shared" si="7"/>
        <v>0</v>
      </c>
      <c r="AH30" s="26">
        <f t="shared" si="8"/>
        <v>0</v>
      </c>
      <c r="AI30" s="25"/>
      <c r="AJ30" s="17">
        <f t="shared" si="9"/>
        <v>0</v>
      </c>
      <c r="AK30" s="17">
        <f t="shared" si="10"/>
        <v>0</v>
      </c>
      <c r="AL30" s="17">
        <f t="shared" si="11"/>
        <v>0</v>
      </c>
      <c r="AN30" s="26">
        <v>21</v>
      </c>
      <c r="AO30" s="26">
        <f>K30*1</f>
        <v>0</v>
      </c>
      <c r="AP30" s="26">
        <f>K30*(1-1)</f>
        <v>0</v>
      </c>
      <c r="AQ30" s="28" t="s">
        <v>13</v>
      </c>
      <c r="AV30" s="26">
        <f t="shared" si="12"/>
        <v>0</v>
      </c>
      <c r="AW30" s="26">
        <f t="shared" si="13"/>
        <v>0</v>
      </c>
      <c r="AX30" s="26">
        <f t="shared" si="14"/>
        <v>0</v>
      </c>
      <c r="AY30" s="29" t="s">
        <v>254</v>
      </c>
      <c r="AZ30" s="29" t="s">
        <v>267</v>
      </c>
      <c r="BA30" s="25" t="s">
        <v>272</v>
      </c>
      <c r="BC30" s="26">
        <f t="shared" si="15"/>
        <v>0</v>
      </c>
      <c r="BD30" s="26">
        <f t="shared" si="16"/>
        <v>0</v>
      </c>
      <c r="BE30" s="26">
        <v>0</v>
      </c>
      <c r="BF30" s="26">
        <f>30</f>
        <v>30</v>
      </c>
      <c r="BH30" s="17">
        <f t="shared" si="17"/>
        <v>0</v>
      </c>
      <c r="BI30" s="17">
        <f t="shared" si="18"/>
        <v>0</v>
      </c>
      <c r="BJ30" s="17">
        <f t="shared" si="19"/>
        <v>0</v>
      </c>
    </row>
    <row r="31" spans="1:62" ht="12.75">
      <c r="A31" s="4" t="s">
        <v>21</v>
      </c>
      <c r="B31" s="4" t="s">
        <v>85</v>
      </c>
      <c r="C31" s="98" t="s">
        <v>160</v>
      </c>
      <c r="D31" s="99"/>
      <c r="E31" s="99"/>
      <c r="F31" s="99"/>
      <c r="G31" s="99"/>
      <c r="H31" s="99"/>
      <c r="I31" s="4" t="s">
        <v>230</v>
      </c>
      <c r="J31" s="16">
        <v>3</v>
      </c>
      <c r="K31" s="16">
        <v>0</v>
      </c>
      <c r="L31" s="16">
        <f t="shared" si="0"/>
        <v>0</v>
      </c>
      <c r="Z31" s="26">
        <f t="shared" si="1"/>
        <v>0</v>
      </c>
      <c r="AB31" s="26">
        <f t="shared" si="2"/>
        <v>0</v>
      </c>
      <c r="AC31" s="26">
        <f t="shared" si="3"/>
        <v>0</v>
      </c>
      <c r="AD31" s="26">
        <f t="shared" si="4"/>
        <v>0</v>
      </c>
      <c r="AE31" s="26">
        <f t="shared" si="5"/>
        <v>0</v>
      </c>
      <c r="AF31" s="26">
        <f t="shared" si="6"/>
        <v>0</v>
      </c>
      <c r="AG31" s="26">
        <f t="shared" si="7"/>
        <v>0</v>
      </c>
      <c r="AH31" s="26">
        <f t="shared" si="8"/>
        <v>0</v>
      </c>
      <c r="AI31" s="25"/>
      <c r="AJ31" s="16">
        <f t="shared" si="9"/>
        <v>0</v>
      </c>
      <c r="AK31" s="16">
        <f t="shared" si="10"/>
        <v>0</v>
      </c>
      <c r="AL31" s="16">
        <f t="shared" si="11"/>
        <v>0</v>
      </c>
      <c r="AN31" s="26">
        <v>21</v>
      </c>
      <c r="AO31" s="26">
        <f>K31*0.125824742268041</f>
        <v>0</v>
      </c>
      <c r="AP31" s="26">
        <f>K31*(1-0.125824742268041)</f>
        <v>0</v>
      </c>
      <c r="AQ31" s="27" t="s">
        <v>13</v>
      </c>
      <c r="AV31" s="26">
        <f t="shared" si="12"/>
        <v>0</v>
      </c>
      <c r="AW31" s="26">
        <f t="shared" si="13"/>
        <v>0</v>
      </c>
      <c r="AX31" s="26">
        <f t="shared" si="14"/>
        <v>0</v>
      </c>
      <c r="AY31" s="29" t="s">
        <v>254</v>
      </c>
      <c r="AZ31" s="29" t="s">
        <v>267</v>
      </c>
      <c r="BA31" s="25" t="s">
        <v>272</v>
      </c>
      <c r="BC31" s="26">
        <f t="shared" si="15"/>
        <v>0</v>
      </c>
      <c r="BD31" s="26">
        <f t="shared" si="16"/>
        <v>0</v>
      </c>
      <c r="BE31" s="26">
        <v>0</v>
      </c>
      <c r="BF31" s="26">
        <f>31</f>
        <v>31</v>
      </c>
      <c r="BH31" s="16">
        <f t="shared" si="17"/>
        <v>0</v>
      </c>
      <c r="BI31" s="16">
        <f t="shared" si="18"/>
        <v>0</v>
      </c>
      <c r="BJ31" s="16">
        <f t="shared" si="19"/>
        <v>0</v>
      </c>
    </row>
    <row r="32" spans="1:62" ht="12.75">
      <c r="A32" s="6" t="s">
        <v>22</v>
      </c>
      <c r="B32" s="6" t="s">
        <v>86</v>
      </c>
      <c r="C32" s="102" t="s">
        <v>161</v>
      </c>
      <c r="D32" s="103"/>
      <c r="E32" s="103"/>
      <c r="F32" s="103"/>
      <c r="G32" s="103"/>
      <c r="H32" s="103"/>
      <c r="I32" s="6" t="s">
        <v>229</v>
      </c>
      <c r="J32" s="17">
        <v>3</v>
      </c>
      <c r="K32" s="17">
        <v>0</v>
      </c>
      <c r="L32" s="17">
        <f t="shared" si="0"/>
        <v>0</v>
      </c>
      <c r="Z32" s="26">
        <f t="shared" si="1"/>
        <v>0</v>
      </c>
      <c r="AB32" s="26">
        <f t="shared" si="2"/>
        <v>0</v>
      </c>
      <c r="AC32" s="26">
        <f t="shared" si="3"/>
        <v>0</v>
      </c>
      <c r="AD32" s="26">
        <f t="shared" si="4"/>
        <v>0</v>
      </c>
      <c r="AE32" s="26">
        <f t="shared" si="5"/>
        <v>0</v>
      </c>
      <c r="AF32" s="26">
        <f t="shared" si="6"/>
        <v>0</v>
      </c>
      <c r="AG32" s="26">
        <f t="shared" si="7"/>
        <v>0</v>
      </c>
      <c r="AH32" s="26">
        <f t="shared" si="8"/>
        <v>0</v>
      </c>
      <c r="AI32" s="25"/>
      <c r="AJ32" s="17">
        <f t="shared" si="9"/>
        <v>0</v>
      </c>
      <c r="AK32" s="17">
        <f t="shared" si="10"/>
        <v>0</v>
      </c>
      <c r="AL32" s="17">
        <f t="shared" si="11"/>
        <v>0</v>
      </c>
      <c r="AN32" s="26">
        <v>21</v>
      </c>
      <c r="AO32" s="26">
        <f>K32*1</f>
        <v>0</v>
      </c>
      <c r="AP32" s="26">
        <f>K32*(1-1)</f>
        <v>0</v>
      </c>
      <c r="AQ32" s="28" t="s">
        <v>13</v>
      </c>
      <c r="AV32" s="26">
        <f t="shared" si="12"/>
        <v>0</v>
      </c>
      <c r="AW32" s="26">
        <f t="shared" si="13"/>
        <v>0</v>
      </c>
      <c r="AX32" s="26">
        <f t="shared" si="14"/>
        <v>0</v>
      </c>
      <c r="AY32" s="29" t="s">
        <v>254</v>
      </c>
      <c r="AZ32" s="29" t="s">
        <v>267</v>
      </c>
      <c r="BA32" s="25" t="s">
        <v>272</v>
      </c>
      <c r="BC32" s="26">
        <f t="shared" si="15"/>
        <v>0</v>
      </c>
      <c r="BD32" s="26">
        <f t="shared" si="16"/>
        <v>0</v>
      </c>
      <c r="BE32" s="26">
        <v>0</v>
      </c>
      <c r="BF32" s="26">
        <f>32</f>
        <v>32</v>
      </c>
      <c r="BH32" s="17">
        <f t="shared" si="17"/>
        <v>0</v>
      </c>
      <c r="BI32" s="17">
        <f t="shared" si="18"/>
        <v>0</v>
      </c>
      <c r="BJ32" s="17">
        <f t="shared" si="19"/>
        <v>0</v>
      </c>
    </row>
    <row r="33" spans="1:62" ht="12.75">
      <c r="A33" s="4" t="s">
        <v>23</v>
      </c>
      <c r="B33" s="4" t="s">
        <v>87</v>
      </c>
      <c r="C33" s="98" t="s">
        <v>162</v>
      </c>
      <c r="D33" s="99"/>
      <c r="E33" s="99"/>
      <c r="F33" s="99"/>
      <c r="G33" s="99"/>
      <c r="H33" s="99"/>
      <c r="I33" s="4" t="s">
        <v>230</v>
      </c>
      <c r="J33" s="16">
        <v>5</v>
      </c>
      <c r="K33" s="16">
        <v>0</v>
      </c>
      <c r="L33" s="16">
        <f t="shared" si="0"/>
        <v>0</v>
      </c>
      <c r="Z33" s="26">
        <f t="shared" si="1"/>
        <v>0</v>
      </c>
      <c r="AB33" s="26">
        <f t="shared" si="2"/>
        <v>0</v>
      </c>
      <c r="AC33" s="26">
        <f t="shared" si="3"/>
        <v>0</v>
      </c>
      <c r="AD33" s="26">
        <f t="shared" si="4"/>
        <v>0</v>
      </c>
      <c r="AE33" s="26">
        <f t="shared" si="5"/>
        <v>0</v>
      </c>
      <c r="AF33" s="26">
        <f t="shared" si="6"/>
        <v>0</v>
      </c>
      <c r="AG33" s="26">
        <f t="shared" si="7"/>
        <v>0</v>
      </c>
      <c r="AH33" s="26">
        <f t="shared" si="8"/>
        <v>0</v>
      </c>
      <c r="AI33" s="25"/>
      <c r="AJ33" s="16">
        <f t="shared" si="9"/>
        <v>0</v>
      </c>
      <c r="AK33" s="16">
        <f t="shared" si="10"/>
        <v>0</v>
      </c>
      <c r="AL33" s="16">
        <f t="shared" si="11"/>
        <v>0</v>
      </c>
      <c r="AN33" s="26">
        <v>21</v>
      </c>
      <c r="AO33" s="26">
        <f>K33*0</f>
        <v>0</v>
      </c>
      <c r="AP33" s="26">
        <f>K33*(1-0)</f>
        <v>0</v>
      </c>
      <c r="AQ33" s="27" t="s">
        <v>13</v>
      </c>
      <c r="AV33" s="26">
        <f t="shared" si="12"/>
        <v>0</v>
      </c>
      <c r="AW33" s="26">
        <f t="shared" si="13"/>
        <v>0</v>
      </c>
      <c r="AX33" s="26">
        <f t="shared" si="14"/>
        <v>0</v>
      </c>
      <c r="AY33" s="29" t="s">
        <v>254</v>
      </c>
      <c r="AZ33" s="29" t="s">
        <v>267</v>
      </c>
      <c r="BA33" s="25" t="s">
        <v>272</v>
      </c>
      <c r="BC33" s="26">
        <f t="shared" si="15"/>
        <v>0</v>
      </c>
      <c r="BD33" s="26">
        <f t="shared" si="16"/>
        <v>0</v>
      </c>
      <c r="BE33" s="26">
        <v>0</v>
      </c>
      <c r="BF33" s="26">
        <f>33</f>
        <v>33</v>
      </c>
      <c r="BH33" s="16">
        <f t="shared" si="17"/>
        <v>0</v>
      </c>
      <c r="BI33" s="16">
        <f t="shared" si="18"/>
        <v>0</v>
      </c>
      <c r="BJ33" s="16">
        <f t="shared" si="19"/>
        <v>0</v>
      </c>
    </row>
    <row r="34" spans="1:62" ht="12.75">
      <c r="A34" s="4" t="s">
        <v>24</v>
      </c>
      <c r="B34" s="4" t="s">
        <v>88</v>
      </c>
      <c r="C34" s="98" t="s">
        <v>163</v>
      </c>
      <c r="D34" s="99"/>
      <c r="E34" s="99"/>
      <c r="F34" s="99"/>
      <c r="G34" s="99"/>
      <c r="H34" s="99"/>
      <c r="I34" s="4" t="s">
        <v>229</v>
      </c>
      <c r="J34" s="16">
        <v>3</v>
      </c>
      <c r="K34" s="16">
        <v>0</v>
      </c>
      <c r="L34" s="16">
        <f t="shared" si="0"/>
        <v>0</v>
      </c>
      <c r="Z34" s="26">
        <f t="shared" si="1"/>
        <v>0</v>
      </c>
      <c r="AB34" s="26">
        <f t="shared" si="2"/>
        <v>0</v>
      </c>
      <c r="AC34" s="26">
        <f t="shared" si="3"/>
        <v>0</v>
      </c>
      <c r="AD34" s="26">
        <f t="shared" si="4"/>
        <v>0</v>
      </c>
      <c r="AE34" s="26">
        <f t="shared" si="5"/>
        <v>0</v>
      </c>
      <c r="AF34" s="26">
        <f t="shared" si="6"/>
        <v>0</v>
      </c>
      <c r="AG34" s="26">
        <f t="shared" si="7"/>
        <v>0</v>
      </c>
      <c r="AH34" s="26">
        <f t="shared" si="8"/>
        <v>0</v>
      </c>
      <c r="AI34" s="25"/>
      <c r="AJ34" s="16">
        <f t="shared" si="9"/>
        <v>0</v>
      </c>
      <c r="AK34" s="16">
        <f t="shared" si="10"/>
        <v>0</v>
      </c>
      <c r="AL34" s="16">
        <f t="shared" si="11"/>
        <v>0</v>
      </c>
      <c r="AN34" s="26">
        <v>21</v>
      </c>
      <c r="AO34" s="26">
        <f>K34*0.906439040817416</f>
        <v>0</v>
      </c>
      <c r="AP34" s="26">
        <f>K34*(1-0.906439040817416)</f>
        <v>0</v>
      </c>
      <c r="AQ34" s="27" t="s">
        <v>13</v>
      </c>
      <c r="AV34" s="26">
        <f t="shared" si="12"/>
        <v>0</v>
      </c>
      <c r="AW34" s="26">
        <f t="shared" si="13"/>
        <v>0</v>
      </c>
      <c r="AX34" s="26">
        <f t="shared" si="14"/>
        <v>0</v>
      </c>
      <c r="AY34" s="29" t="s">
        <v>254</v>
      </c>
      <c r="AZ34" s="29" t="s">
        <v>267</v>
      </c>
      <c r="BA34" s="25" t="s">
        <v>272</v>
      </c>
      <c r="BC34" s="26">
        <f t="shared" si="15"/>
        <v>0</v>
      </c>
      <c r="BD34" s="26">
        <f t="shared" si="16"/>
        <v>0</v>
      </c>
      <c r="BE34" s="26">
        <v>0</v>
      </c>
      <c r="BF34" s="26">
        <f>34</f>
        <v>34</v>
      </c>
      <c r="BH34" s="16">
        <f t="shared" si="17"/>
        <v>0</v>
      </c>
      <c r="BI34" s="16">
        <f t="shared" si="18"/>
        <v>0</v>
      </c>
      <c r="BJ34" s="16">
        <f t="shared" si="19"/>
        <v>0</v>
      </c>
    </row>
    <row r="35" spans="1:62" ht="12.75">
      <c r="A35" s="4" t="s">
        <v>25</v>
      </c>
      <c r="B35" s="4" t="s">
        <v>89</v>
      </c>
      <c r="C35" s="98" t="s">
        <v>164</v>
      </c>
      <c r="D35" s="99"/>
      <c r="E35" s="99"/>
      <c r="F35" s="99"/>
      <c r="G35" s="99"/>
      <c r="H35" s="99"/>
      <c r="I35" s="4" t="s">
        <v>229</v>
      </c>
      <c r="J35" s="16">
        <v>1</v>
      </c>
      <c r="K35" s="16">
        <v>0</v>
      </c>
      <c r="L35" s="16">
        <f t="shared" si="0"/>
        <v>0</v>
      </c>
      <c r="Z35" s="26">
        <f t="shared" si="1"/>
        <v>0</v>
      </c>
      <c r="AB35" s="26">
        <f t="shared" si="2"/>
        <v>0</v>
      </c>
      <c r="AC35" s="26">
        <f t="shared" si="3"/>
        <v>0</v>
      </c>
      <c r="AD35" s="26">
        <f t="shared" si="4"/>
        <v>0</v>
      </c>
      <c r="AE35" s="26">
        <f t="shared" si="5"/>
        <v>0</v>
      </c>
      <c r="AF35" s="26">
        <f t="shared" si="6"/>
        <v>0</v>
      </c>
      <c r="AG35" s="26">
        <f t="shared" si="7"/>
        <v>0</v>
      </c>
      <c r="AH35" s="26">
        <f t="shared" si="8"/>
        <v>0</v>
      </c>
      <c r="AI35" s="25"/>
      <c r="AJ35" s="16">
        <f t="shared" si="9"/>
        <v>0</v>
      </c>
      <c r="AK35" s="16">
        <f t="shared" si="10"/>
        <v>0</v>
      </c>
      <c r="AL35" s="16">
        <f t="shared" si="11"/>
        <v>0</v>
      </c>
      <c r="AN35" s="26">
        <v>21</v>
      </c>
      <c r="AO35" s="26">
        <f>K35*0.857957532861476</f>
        <v>0</v>
      </c>
      <c r="AP35" s="26">
        <f>K35*(1-0.857957532861476)</f>
        <v>0</v>
      </c>
      <c r="AQ35" s="27" t="s">
        <v>13</v>
      </c>
      <c r="AV35" s="26">
        <f t="shared" si="12"/>
        <v>0</v>
      </c>
      <c r="AW35" s="26">
        <f t="shared" si="13"/>
        <v>0</v>
      </c>
      <c r="AX35" s="26">
        <f t="shared" si="14"/>
        <v>0</v>
      </c>
      <c r="AY35" s="29" t="s">
        <v>254</v>
      </c>
      <c r="AZ35" s="29" t="s">
        <v>267</v>
      </c>
      <c r="BA35" s="25" t="s">
        <v>272</v>
      </c>
      <c r="BC35" s="26">
        <f t="shared" si="15"/>
        <v>0</v>
      </c>
      <c r="BD35" s="26">
        <f t="shared" si="16"/>
        <v>0</v>
      </c>
      <c r="BE35" s="26">
        <v>0</v>
      </c>
      <c r="BF35" s="26">
        <f>35</f>
        <v>35</v>
      </c>
      <c r="BH35" s="16">
        <f t="shared" si="17"/>
        <v>0</v>
      </c>
      <c r="BI35" s="16">
        <f t="shared" si="18"/>
        <v>0</v>
      </c>
      <c r="BJ35" s="16">
        <f t="shared" si="19"/>
        <v>0</v>
      </c>
    </row>
    <row r="36" spans="1:62" ht="12.75">
      <c r="A36" s="4" t="s">
        <v>26</v>
      </c>
      <c r="B36" s="4" t="s">
        <v>90</v>
      </c>
      <c r="C36" s="98" t="s">
        <v>165</v>
      </c>
      <c r="D36" s="99"/>
      <c r="E36" s="99"/>
      <c r="F36" s="99"/>
      <c r="G36" s="99"/>
      <c r="H36" s="99"/>
      <c r="I36" s="4" t="s">
        <v>229</v>
      </c>
      <c r="J36" s="16">
        <v>1</v>
      </c>
      <c r="K36" s="16">
        <v>0</v>
      </c>
      <c r="L36" s="16">
        <f t="shared" si="0"/>
        <v>0</v>
      </c>
      <c r="Z36" s="26">
        <f t="shared" si="1"/>
        <v>0</v>
      </c>
      <c r="AB36" s="26">
        <f t="shared" si="2"/>
        <v>0</v>
      </c>
      <c r="AC36" s="26">
        <f t="shared" si="3"/>
        <v>0</v>
      </c>
      <c r="AD36" s="26">
        <f t="shared" si="4"/>
        <v>0</v>
      </c>
      <c r="AE36" s="26">
        <f t="shared" si="5"/>
        <v>0</v>
      </c>
      <c r="AF36" s="26">
        <f t="shared" si="6"/>
        <v>0</v>
      </c>
      <c r="AG36" s="26">
        <f t="shared" si="7"/>
        <v>0</v>
      </c>
      <c r="AH36" s="26">
        <f t="shared" si="8"/>
        <v>0</v>
      </c>
      <c r="AI36" s="25"/>
      <c r="AJ36" s="16">
        <f t="shared" si="9"/>
        <v>0</v>
      </c>
      <c r="AK36" s="16">
        <f t="shared" si="10"/>
        <v>0</v>
      </c>
      <c r="AL36" s="16">
        <f t="shared" si="11"/>
        <v>0</v>
      </c>
      <c r="AN36" s="26">
        <v>21</v>
      </c>
      <c r="AO36" s="26">
        <f>K36*0.145443925233645</f>
        <v>0</v>
      </c>
      <c r="AP36" s="26">
        <f>K36*(1-0.145443925233645)</f>
        <v>0</v>
      </c>
      <c r="AQ36" s="27" t="s">
        <v>13</v>
      </c>
      <c r="AV36" s="26">
        <f t="shared" si="12"/>
        <v>0</v>
      </c>
      <c r="AW36" s="26">
        <f t="shared" si="13"/>
        <v>0</v>
      </c>
      <c r="AX36" s="26">
        <f t="shared" si="14"/>
        <v>0</v>
      </c>
      <c r="AY36" s="29" t="s">
        <v>254</v>
      </c>
      <c r="AZ36" s="29" t="s">
        <v>267</v>
      </c>
      <c r="BA36" s="25" t="s">
        <v>272</v>
      </c>
      <c r="BC36" s="26">
        <f t="shared" si="15"/>
        <v>0</v>
      </c>
      <c r="BD36" s="26">
        <f t="shared" si="16"/>
        <v>0</v>
      </c>
      <c r="BE36" s="26">
        <v>0</v>
      </c>
      <c r="BF36" s="26">
        <f>36</f>
        <v>36</v>
      </c>
      <c r="BH36" s="16">
        <f t="shared" si="17"/>
        <v>0</v>
      </c>
      <c r="BI36" s="16">
        <f t="shared" si="18"/>
        <v>0</v>
      </c>
      <c r="BJ36" s="16">
        <f t="shared" si="19"/>
        <v>0</v>
      </c>
    </row>
    <row r="37" spans="1:62" ht="12.75">
      <c r="A37" s="6" t="s">
        <v>27</v>
      </c>
      <c r="B37" s="6" t="s">
        <v>91</v>
      </c>
      <c r="C37" s="102" t="s">
        <v>166</v>
      </c>
      <c r="D37" s="103"/>
      <c r="E37" s="103"/>
      <c r="F37" s="103"/>
      <c r="G37" s="103"/>
      <c r="H37" s="103"/>
      <c r="I37" s="6" t="s">
        <v>229</v>
      </c>
      <c r="J37" s="17">
        <v>1</v>
      </c>
      <c r="K37" s="17">
        <v>0</v>
      </c>
      <c r="L37" s="17">
        <f t="shared" si="0"/>
        <v>0</v>
      </c>
      <c r="Z37" s="26">
        <f t="shared" si="1"/>
        <v>0</v>
      </c>
      <c r="AB37" s="26">
        <f t="shared" si="2"/>
        <v>0</v>
      </c>
      <c r="AC37" s="26">
        <f t="shared" si="3"/>
        <v>0</v>
      </c>
      <c r="AD37" s="26">
        <f t="shared" si="4"/>
        <v>0</v>
      </c>
      <c r="AE37" s="26">
        <f t="shared" si="5"/>
        <v>0</v>
      </c>
      <c r="AF37" s="26">
        <f t="shared" si="6"/>
        <v>0</v>
      </c>
      <c r="AG37" s="26">
        <f t="shared" si="7"/>
        <v>0</v>
      </c>
      <c r="AH37" s="26">
        <f t="shared" si="8"/>
        <v>0</v>
      </c>
      <c r="AI37" s="25"/>
      <c r="AJ37" s="17">
        <f t="shared" si="9"/>
        <v>0</v>
      </c>
      <c r="AK37" s="17">
        <f t="shared" si="10"/>
        <v>0</v>
      </c>
      <c r="AL37" s="17">
        <f t="shared" si="11"/>
        <v>0</v>
      </c>
      <c r="AN37" s="26">
        <v>21</v>
      </c>
      <c r="AO37" s="26">
        <f>K37*1</f>
        <v>0</v>
      </c>
      <c r="AP37" s="26">
        <f>K37*(1-1)</f>
        <v>0</v>
      </c>
      <c r="AQ37" s="28" t="s">
        <v>13</v>
      </c>
      <c r="AV37" s="26">
        <f t="shared" si="12"/>
        <v>0</v>
      </c>
      <c r="AW37" s="26">
        <f t="shared" si="13"/>
        <v>0</v>
      </c>
      <c r="AX37" s="26">
        <f t="shared" si="14"/>
        <v>0</v>
      </c>
      <c r="AY37" s="29" t="s">
        <v>254</v>
      </c>
      <c r="AZ37" s="29" t="s">
        <v>267</v>
      </c>
      <c r="BA37" s="25" t="s">
        <v>272</v>
      </c>
      <c r="BC37" s="26">
        <f t="shared" si="15"/>
        <v>0</v>
      </c>
      <c r="BD37" s="26">
        <f t="shared" si="16"/>
        <v>0</v>
      </c>
      <c r="BE37" s="26">
        <v>0</v>
      </c>
      <c r="BF37" s="26">
        <f>37</f>
        <v>37</v>
      </c>
      <c r="BH37" s="17">
        <f t="shared" si="17"/>
        <v>0</v>
      </c>
      <c r="BI37" s="17">
        <f t="shared" si="18"/>
        <v>0</v>
      </c>
      <c r="BJ37" s="17">
        <f t="shared" si="19"/>
        <v>0</v>
      </c>
    </row>
    <row r="38" spans="1:62" ht="12.75">
      <c r="A38" s="4" t="s">
        <v>28</v>
      </c>
      <c r="B38" s="4" t="s">
        <v>92</v>
      </c>
      <c r="C38" s="98" t="s">
        <v>167</v>
      </c>
      <c r="D38" s="99"/>
      <c r="E38" s="99"/>
      <c r="F38" s="99"/>
      <c r="G38" s="99"/>
      <c r="H38" s="99"/>
      <c r="I38" s="4" t="s">
        <v>230</v>
      </c>
      <c r="J38" s="16">
        <v>0</v>
      </c>
      <c r="K38" s="16">
        <v>0</v>
      </c>
      <c r="L38" s="16">
        <f t="shared" si="0"/>
        <v>0</v>
      </c>
      <c r="Z38" s="26">
        <f t="shared" si="1"/>
        <v>0</v>
      </c>
      <c r="AB38" s="26">
        <f t="shared" si="2"/>
        <v>0</v>
      </c>
      <c r="AC38" s="26">
        <f t="shared" si="3"/>
        <v>0</v>
      </c>
      <c r="AD38" s="26">
        <f t="shared" si="4"/>
        <v>0</v>
      </c>
      <c r="AE38" s="26">
        <f t="shared" si="5"/>
        <v>0</v>
      </c>
      <c r="AF38" s="26">
        <f t="shared" si="6"/>
        <v>0</v>
      </c>
      <c r="AG38" s="26">
        <f t="shared" si="7"/>
        <v>0</v>
      </c>
      <c r="AH38" s="26">
        <f t="shared" si="8"/>
        <v>0</v>
      </c>
      <c r="AI38" s="25"/>
      <c r="AJ38" s="16">
        <f t="shared" si="9"/>
        <v>0</v>
      </c>
      <c r="AK38" s="16">
        <f t="shared" si="10"/>
        <v>0</v>
      </c>
      <c r="AL38" s="16">
        <f t="shared" si="11"/>
        <v>0</v>
      </c>
      <c r="AN38" s="26">
        <v>21</v>
      </c>
      <c r="AO38" s="26">
        <f>K38*0</f>
        <v>0</v>
      </c>
      <c r="AP38" s="26">
        <f>K38*(1-0)</f>
        <v>0</v>
      </c>
      <c r="AQ38" s="27" t="s">
        <v>13</v>
      </c>
      <c r="AV38" s="26">
        <f t="shared" si="12"/>
        <v>0</v>
      </c>
      <c r="AW38" s="26">
        <f t="shared" si="13"/>
        <v>0</v>
      </c>
      <c r="AX38" s="26">
        <f t="shared" si="14"/>
        <v>0</v>
      </c>
      <c r="AY38" s="29" t="s">
        <v>254</v>
      </c>
      <c r="AZ38" s="29" t="s">
        <v>267</v>
      </c>
      <c r="BA38" s="25" t="s">
        <v>272</v>
      </c>
      <c r="BC38" s="26">
        <f t="shared" si="15"/>
        <v>0</v>
      </c>
      <c r="BD38" s="26">
        <f t="shared" si="16"/>
        <v>0</v>
      </c>
      <c r="BE38" s="26">
        <v>0</v>
      </c>
      <c r="BF38" s="26">
        <f>38</f>
        <v>38</v>
      </c>
      <c r="BH38" s="16">
        <f t="shared" si="17"/>
        <v>0</v>
      </c>
      <c r="BI38" s="16">
        <f t="shared" si="18"/>
        <v>0</v>
      </c>
      <c r="BJ38" s="16">
        <f t="shared" si="19"/>
        <v>0</v>
      </c>
    </row>
    <row r="39" spans="1:62" ht="12.75">
      <c r="A39" s="4" t="s">
        <v>29</v>
      </c>
      <c r="B39" s="4" t="s">
        <v>93</v>
      </c>
      <c r="C39" s="98" t="s">
        <v>168</v>
      </c>
      <c r="D39" s="99"/>
      <c r="E39" s="99"/>
      <c r="F39" s="99"/>
      <c r="G39" s="99"/>
      <c r="H39" s="99"/>
      <c r="I39" s="4" t="s">
        <v>230</v>
      </c>
      <c r="J39" s="16">
        <v>1</v>
      </c>
      <c r="K39" s="16">
        <v>0</v>
      </c>
      <c r="L39" s="16">
        <f t="shared" si="0"/>
        <v>0</v>
      </c>
      <c r="Z39" s="26">
        <f t="shared" si="1"/>
        <v>0</v>
      </c>
      <c r="AB39" s="26">
        <f t="shared" si="2"/>
        <v>0</v>
      </c>
      <c r="AC39" s="26">
        <f t="shared" si="3"/>
        <v>0</v>
      </c>
      <c r="AD39" s="26">
        <f t="shared" si="4"/>
        <v>0</v>
      </c>
      <c r="AE39" s="26">
        <f t="shared" si="5"/>
        <v>0</v>
      </c>
      <c r="AF39" s="26">
        <f t="shared" si="6"/>
        <v>0</v>
      </c>
      <c r="AG39" s="26">
        <f t="shared" si="7"/>
        <v>0</v>
      </c>
      <c r="AH39" s="26">
        <f t="shared" si="8"/>
        <v>0</v>
      </c>
      <c r="AI39" s="25"/>
      <c r="AJ39" s="16">
        <f t="shared" si="9"/>
        <v>0</v>
      </c>
      <c r="AK39" s="16">
        <f t="shared" si="10"/>
        <v>0</v>
      </c>
      <c r="AL39" s="16">
        <f t="shared" si="11"/>
        <v>0</v>
      </c>
      <c r="AN39" s="26">
        <v>21</v>
      </c>
      <c r="AO39" s="26">
        <f>K39*0.860858193277311</f>
        <v>0</v>
      </c>
      <c r="AP39" s="26">
        <f>K39*(1-0.860858193277311)</f>
        <v>0</v>
      </c>
      <c r="AQ39" s="27" t="s">
        <v>13</v>
      </c>
      <c r="AV39" s="26">
        <f t="shared" si="12"/>
        <v>0</v>
      </c>
      <c r="AW39" s="26">
        <f t="shared" si="13"/>
        <v>0</v>
      </c>
      <c r="AX39" s="26">
        <f t="shared" si="14"/>
        <v>0</v>
      </c>
      <c r="AY39" s="29" t="s">
        <v>254</v>
      </c>
      <c r="AZ39" s="29" t="s">
        <v>267</v>
      </c>
      <c r="BA39" s="25" t="s">
        <v>272</v>
      </c>
      <c r="BC39" s="26">
        <f t="shared" si="15"/>
        <v>0</v>
      </c>
      <c r="BD39" s="26">
        <f t="shared" si="16"/>
        <v>0</v>
      </c>
      <c r="BE39" s="26">
        <v>0</v>
      </c>
      <c r="BF39" s="26">
        <f>39</f>
        <v>39</v>
      </c>
      <c r="BH39" s="16">
        <f t="shared" si="17"/>
        <v>0</v>
      </c>
      <c r="BI39" s="16">
        <f t="shared" si="18"/>
        <v>0</v>
      </c>
      <c r="BJ39" s="16">
        <f t="shared" si="19"/>
        <v>0</v>
      </c>
    </row>
    <row r="40" spans="1:62" ht="12.75">
      <c r="A40" s="4" t="s">
        <v>30</v>
      </c>
      <c r="B40" s="4" t="s">
        <v>94</v>
      </c>
      <c r="C40" s="98" t="s">
        <v>169</v>
      </c>
      <c r="D40" s="99"/>
      <c r="E40" s="99"/>
      <c r="F40" s="99"/>
      <c r="G40" s="99"/>
      <c r="H40" s="99"/>
      <c r="I40" s="4" t="s">
        <v>228</v>
      </c>
      <c r="J40" s="16">
        <v>311.095</v>
      </c>
      <c r="K40" s="16">
        <v>0</v>
      </c>
      <c r="L40" s="16">
        <f t="shared" si="0"/>
        <v>0</v>
      </c>
      <c r="Z40" s="26">
        <f t="shared" si="1"/>
        <v>0</v>
      </c>
      <c r="AB40" s="26">
        <f t="shared" si="2"/>
        <v>0</v>
      </c>
      <c r="AC40" s="26">
        <f t="shared" si="3"/>
        <v>0</v>
      </c>
      <c r="AD40" s="26">
        <f t="shared" si="4"/>
        <v>0</v>
      </c>
      <c r="AE40" s="26">
        <f t="shared" si="5"/>
        <v>0</v>
      </c>
      <c r="AF40" s="26">
        <f t="shared" si="6"/>
        <v>0</v>
      </c>
      <c r="AG40" s="26">
        <f t="shared" si="7"/>
        <v>0</v>
      </c>
      <c r="AH40" s="26">
        <f t="shared" si="8"/>
        <v>0</v>
      </c>
      <c r="AI40" s="25"/>
      <c r="AJ40" s="16">
        <f t="shared" si="9"/>
        <v>0</v>
      </c>
      <c r="AK40" s="16">
        <f t="shared" si="10"/>
        <v>0</v>
      </c>
      <c r="AL40" s="16">
        <f t="shared" si="11"/>
        <v>0</v>
      </c>
      <c r="AN40" s="26">
        <v>21</v>
      </c>
      <c r="AO40" s="26">
        <f>K40*0</f>
        <v>0</v>
      </c>
      <c r="AP40" s="26">
        <f>K40*(1-0)</f>
        <v>0</v>
      </c>
      <c r="AQ40" s="27" t="s">
        <v>11</v>
      </c>
      <c r="AV40" s="26">
        <f t="shared" si="12"/>
        <v>0</v>
      </c>
      <c r="AW40" s="26">
        <f t="shared" si="13"/>
        <v>0</v>
      </c>
      <c r="AX40" s="26">
        <f t="shared" si="14"/>
        <v>0</v>
      </c>
      <c r="AY40" s="29" t="s">
        <v>254</v>
      </c>
      <c r="AZ40" s="29" t="s">
        <v>267</v>
      </c>
      <c r="BA40" s="25" t="s">
        <v>272</v>
      </c>
      <c r="BC40" s="26">
        <f t="shared" si="15"/>
        <v>0</v>
      </c>
      <c r="BD40" s="26">
        <f t="shared" si="16"/>
        <v>0</v>
      </c>
      <c r="BE40" s="26">
        <v>0</v>
      </c>
      <c r="BF40" s="26">
        <f>40</f>
        <v>40</v>
      </c>
      <c r="BH40" s="16">
        <f t="shared" si="17"/>
        <v>0</v>
      </c>
      <c r="BI40" s="16">
        <f t="shared" si="18"/>
        <v>0</v>
      </c>
      <c r="BJ40" s="16">
        <f t="shared" si="19"/>
        <v>0</v>
      </c>
    </row>
    <row r="41" spans="1:62" ht="12.75">
      <c r="A41" s="4" t="s">
        <v>31</v>
      </c>
      <c r="B41" s="4" t="s">
        <v>95</v>
      </c>
      <c r="C41" s="98" t="s">
        <v>170</v>
      </c>
      <c r="D41" s="99"/>
      <c r="E41" s="99"/>
      <c r="F41" s="99"/>
      <c r="G41" s="99"/>
      <c r="H41" s="99"/>
      <c r="I41" s="4" t="s">
        <v>232</v>
      </c>
      <c r="J41" s="16">
        <v>1</v>
      </c>
      <c r="K41" s="16">
        <v>0</v>
      </c>
      <c r="L41" s="16">
        <f t="shared" si="0"/>
        <v>0</v>
      </c>
      <c r="Z41" s="26">
        <f t="shared" si="1"/>
        <v>0</v>
      </c>
      <c r="AB41" s="26">
        <f t="shared" si="2"/>
        <v>0</v>
      </c>
      <c r="AC41" s="26">
        <f t="shared" si="3"/>
        <v>0</v>
      </c>
      <c r="AD41" s="26">
        <f t="shared" si="4"/>
        <v>0</v>
      </c>
      <c r="AE41" s="26">
        <f t="shared" si="5"/>
        <v>0</v>
      </c>
      <c r="AF41" s="26">
        <f t="shared" si="6"/>
        <v>0</v>
      </c>
      <c r="AG41" s="26">
        <f t="shared" si="7"/>
        <v>0</v>
      </c>
      <c r="AH41" s="26">
        <f t="shared" si="8"/>
        <v>0</v>
      </c>
      <c r="AI41" s="25"/>
      <c r="AJ41" s="16">
        <f t="shared" si="9"/>
        <v>0</v>
      </c>
      <c r="AK41" s="16">
        <f t="shared" si="10"/>
        <v>0</v>
      </c>
      <c r="AL41" s="16">
        <f t="shared" si="11"/>
        <v>0</v>
      </c>
      <c r="AN41" s="26">
        <v>21</v>
      </c>
      <c r="AO41" s="26">
        <f>K41*0</f>
        <v>0</v>
      </c>
      <c r="AP41" s="26">
        <f>K41*(1-0)</f>
        <v>0</v>
      </c>
      <c r="AQ41" s="27" t="s">
        <v>13</v>
      </c>
      <c r="AV41" s="26">
        <f t="shared" si="12"/>
        <v>0</v>
      </c>
      <c r="AW41" s="26">
        <f t="shared" si="13"/>
        <v>0</v>
      </c>
      <c r="AX41" s="26">
        <f t="shared" si="14"/>
        <v>0</v>
      </c>
      <c r="AY41" s="29" t="s">
        <v>254</v>
      </c>
      <c r="AZ41" s="29" t="s">
        <v>267</v>
      </c>
      <c r="BA41" s="25" t="s">
        <v>272</v>
      </c>
      <c r="BC41" s="26">
        <f t="shared" si="15"/>
        <v>0</v>
      </c>
      <c r="BD41" s="26">
        <f t="shared" si="16"/>
        <v>0</v>
      </c>
      <c r="BE41" s="26">
        <v>0</v>
      </c>
      <c r="BF41" s="26">
        <f>41</f>
        <v>41</v>
      </c>
      <c r="BH41" s="16">
        <f t="shared" si="17"/>
        <v>0</v>
      </c>
      <c r="BI41" s="16">
        <f t="shared" si="18"/>
        <v>0</v>
      </c>
      <c r="BJ41" s="16">
        <f t="shared" si="19"/>
        <v>0</v>
      </c>
    </row>
    <row r="42" spans="1:47" ht="12.75">
      <c r="A42" s="5"/>
      <c r="B42" s="13" t="s">
        <v>96</v>
      </c>
      <c r="C42" s="100" t="s">
        <v>171</v>
      </c>
      <c r="D42" s="101"/>
      <c r="E42" s="101"/>
      <c r="F42" s="101"/>
      <c r="G42" s="101"/>
      <c r="H42" s="101"/>
      <c r="I42" s="5" t="s">
        <v>6</v>
      </c>
      <c r="J42" s="5" t="s">
        <v>6</v>
      </c>
      <c r="K42" s="5" t="s">
        <v>6</v>
      </c>
      <c r="L42" s="31">
        <f>SUM(L43:L45)</f>
        <v>0</v>
      </c>
      <c r="AI42" s="25"/>
      <c r="AS42" s="31">
        <f>SUM(AJ43:AJ45)</f>
        <v>0</v>
      </c>
      <c r="AT42" s="31">
        <f>SUM(AK43:AK45)</f>
        <v>0</v>
      </c>
      <c r="AU42" s="31">
        <f>SUM(AL43:AL45)</f>
        <v>0</v>
      </c>
    </row>
    <row r="43" spans="1:62" ht="12.75">
      <c r="A43" s="4" t="s">
        <v>32</v>
      </c>
      <c r="B43" s="4" t="s">
        <v>97</v>
      </c>
      <c r="C43" s="98" t="s">
        <v>172</v>
      </c>
      <c r="D43" s="99"/>
      <c r="E43" s="99"/>
      <c r="F43" s="99"/>
      <c r="G43" s="99"/>
      <c r="H43" s="99"/>
      <c r="I43" s="4" t="s">
        <v>229</v>
      </c>
      <c r="J43" s="16">
        <v>1</v>
      </c>
      <c r="K43" s="16">
        <v>0</v>
      </c>
      <c r="L43" s="16">
        <f>J43*K43</f>
        <v>0</v>
      </c>
      <c r="Z43" s="26">
        <f>IF(AQ43="5",BJ43,0)</f>
        <v>0</v>
      </c>
      <c r="AB43" s="26">
        <f>IF(AQ43="1",BH43,0)</f>
        <v>0</v>
      </c>
      <c r="AC43" s="26">
        <f>IF(AQ43="1",BI43,0)</f>
        <v>0</v>
      </c>
      <c r="AD43" s="26">
        <f>IF(AQ43="7",BH43,0)</f>
        <v>0</v>
      </c>
      <c r="AE43" s="26">
        <f>IF(AQ43="7",BI43,0)</f>
        <v>0</v>
      </c>
      <c r="AF43" s="26">
        <f>IF(AQ43="2",BH43,0)</f>
        <v>0</v>
      </c>
      <c r="AG43" s="26">
        <f>IF(AQ43="2",BI43,0)</f>
        <v>0</v>
      </c>
      <c r="AH43" s="26">
        <f>IF(AQ43="0",BJ43,0)</f>
        <v>0</v>
      </c>
      <c r="AI43" s="25"/>
      <c r="AJ43" s="16">
        <f>IF(AN43=0,L43,0)</f>
        <v>0</v>
      </c>
      <c r="AK43" s="16">
        <f>IF(AN43=15,L43,0)</f>
        <v>0</v>
      </c>
      <c r="AL43" s="16">
        <f>IF(AN43=21,L43,0)</f>
        <v>0</v>
      </c>
      <c r="AN43" s="26">
        <v>21</v>
      </c>
      <c r="AO43" s="26">
        <f>K43*0.0946491228070175</f>
        <v>0</v>
      </c>
      <c r="AP43" s="26">
        <f>K43*(1-0.0946491228070175)</f>
        <v>0</v>
      </c>
      <c r="AQ43" s="27" t="s">
        <v>13</v>
      </c>
      <c r="AV43" s="26">
        <f>AW43+AX43</f>
        <v>0</v>
      </c>
      <c r="AW43" s="26">
        <f>J43*AO43</f>
        <v>0</v>
      </c>
      <c r="AX43" s="26">
        <f>J43*AP43</f>
        <v>0</v>
      </c>
      <c r="AY43" s="29" t="s">
        <v>255</v>
      </c>
      <c r="AZ43" s="29" t="s">
        <v>268</v>
      </c>
      <c r="BA43" s="25" t="s">
        <v>272</v>
      </c>
      <c r="BC43" s="26">
        <f>AW43+AX43</f>
        <v>0</v>
      </c>
      <c r="BD43" s="26">
        <f>K43/(100-BE43)*100</f>
        <v>0</v>
      </c>
      <c r="BE43" s="26">
        <v>0</v>
      </c>
      <c r="BF43" s="26">
        <f>43</f>
        <v>43</v>
      </c>
      <c r="BH43" s="16">
        <f>J43*AO43</f>
        <v>0</v>
      </c>
      <c r="BI43" s="16">
        <f>J43*AP43</f>
        <v>0</v>
      </c>
      <c r="BJ43" s="16">
        <f>J43*K43</f>
        <v>0</v>
      </c>
    </row>
    <row r="44" spans="1:62" ht="12.75">
      <c r="A44" s="4" t="s">
        <v>33</v>
      </c>
      <c r="B44" s="4" t="s">
        <v>98</v>
      </c>
      <c r="C44" s="98" t="s">
        <v>173</v>
      </c>
      <c r="D44" s="99"/>
      <c r="E44" s="99"/>
      <c r="F44" s="99"/>
      <c r="G44" s="99"/>
      <c r="H44" s="99"/>
      <c r="I44" s="4" t="s">
        <v>229</v>
      </c>
      <c r="J44" s="16">
        <v>1</v>
      </c>
      <c r="K44" s="16">
        <v>0</v>
      </c>
      <c r="L44" s="16">
        <f>J44*K44</f>
        <v>0</v>
      </c>
      <c r="Z44" s="26">
        <f>IF(AQ44="5",BJ44,0)</f>
        <v>0</v>
      </c>
      <c r="AB44" s="26">
        <f>IF(AQ44="1",BH44,0)</f>
        <v>0</v>
      </c>
      <c r="AC44" s="26">
        <f>IF(AQ44="1",BI44,0)</f>
        <v>0</v>
      </c>
      <c r="AD44" s="26">
        <f>IF(AQ44="7",BH44,0)</f>
        <v>0</v>
      </c>
      <c r="AE44" s="26">
        <f>IF(AQ44="7",BI44,0)</f>
        <v>0</v>
      </c>
      <c r="AF44" s="26">
        <f>IF(AQ44="2",BH44,0)</f>
        <v>0</v>
      </c>
      <c r="AG44" s="26">
        <f>IF(AQ44="2",BI44,0)</f>
        <v>0</v>
      </c>
      <c r="AH44" s="26">
        <f>IF(AQ44="0",BJ44,0)</f>
        <v>0</v>
      </c>
      <c r="AI44" s="25"/>
      <c r="AJ44" s="16">
        <f>IF(AN44=0,L44,0)</f>
        <v>0</v>
      </c>
      <c r="AK44" s="16">
        <f>IF(AN44=15,L44,0)</f>
        <v>0</v>
      </c>
      <c r="AL44" s="16">
        <f>IF(AN44=21,L44,0)</f>
        <v>0</v>
      </c>
      <c r="AN44" s="26">
        <v>21</v>
      </c>
      <c r="AO44" s="26">
        <f>K44*0.281358024691358</f>
        <v>0</v>
      </c>
      <c r="AP44" s="26">
        <f>K44*(1-0.281358024691358)</f>
        <v>0</v>
      </c>
      <c r="AQ44" s="27" t="s">
        <v>13</v>
      </c>
      <c r="AV44" s="26">
        <f>AW44+AX44</f>
        <v>0</v>
      </c>
      <c r="AW44" s="26">
        <f>J44*AO44</f>
        <v>0</v>
      </c>
      <c r="AX44" s="26">
        <f>J44*AP44</f>
        <v>0</v>
      </c>
      <c r="AY44" s="29" t="s">
        <v>255</v>
      </c>
      <c r="AZ44" s="29" t="s">
        <v>268</v>
      </c>
      <c r="BA44" s="25" t="s">
        <v>272</v>
      </c>
      <c r="BC44" s="26">
        <f>AW44+AX44</f>
        <v>0</v>
      </c>
      <c r="BD44" s="26">
        <f>K44/(100-BE44)*100</f>
        <v>0</v>
      </c>
      <c r="BE44" s="26">
        <v>0</v>
      </c>
      <c r="BF44" s="26">
        <f>44</f>
        <v>44</v>
      </c>
      <c r="BH44" s="16">
        <f>J44*AO44</f>
        <v>0</v>
      </c>
      <c r="BI44" s="16">
        <f>J44*AP44</f>
        <v>0</v>
      </c>
      <c r="BJ44" s="16">
        <f>J44*K44</f>
        <v>0</v>
      </c>
    </row>
    <row r="45" spans="1:62" ht="12.75">
      <c r="A45" s="4" t="s">
        <v>34</v>
      </c>
      <c r="B45" s="4" t="s">
        <v>99</v>
      </c>
      <c r="C45" s="98" t="s">
        <v>174</v>
      </c>
      <c r="D45" s="99"/>
      <c r="E45" s="99"/>
      <c r="F45" s="99"/>
      <c r="G45" s="99"/>
      <c r="H45" s="99"/>
      <c r="I45" s="4" t="s">
        <v>228</v>
      </c>
      <c r="J45" s="16">
        <v>2.76</v>
      </c>
      <c r="K45" s="16">
        <v>0</v>
      </c>
      <c r="L45" s="16">
        <f>J45*K45</f>
        <v>0</v>
      </c>
      <c r="Z45" s="26">
        <f>IF(AQ45="5",BJ45,0)</f>
        <v>0</v>
      </c>
      <c r="AB45" s="26">
        <f>IF(AQ45="1",BH45,0)</f>
        <v>0</v>
      </c>
      <c r="AC45" s="26">
        <f>IF(AQ45="1",BI45,0)</f>
        <v>0</v>
      </c>
      <c r="AD45" s="26">
        <f>IF(AQ45="7",BH45,0)</f>
        <v>0</v>
      </c>
      <c r="AE45" s="26">
        <f>IF(AQ45="7",BI45,0)</f>
        <v>0</v>
      </c>
      <c r="AF45" s="26">
        <f>IF(AQ45="2",BH45,0)</f>
        <v>0</v>
      </c>
      <c r="AG45" s="26">
        <f>IF(AQ45="2",BI45,0)</f>
        <v>0</v>
      </c>
      <c r="AH45" s="26">
        <f>IF(AQ45="0",BJ45,0)</f>
        <v>0</v>
      </c>
      <c r="AI45" s="25"/>
      <c r="AJ45" s="16">
        <f>IF(AN45=0,L45,0)</f>
        <v>0</v>
      </c>
      <c r="AK45" s="16">
        <f>IF(AN45=15,L45,0)</f>
        <v>0</v>
      </c>
      <c r="AL45" s="16">
        <f>IF(AN45=21,L45,0)</f>
        <v>0</v>
      </c>
      <c r="AN45" s="26">
        <v>21</v>
      </c>
      <c r="AO45" s="26">
        <f>K45*0</f>
        <v>0</v>
      </c>
      <c r="AP45" s="26">
        <f>K45*(1-0)</f>
        <v>0</v>
      </c>
      <c r="AQ45" s="27" t="s">
        <v>11</v>
      </c>
      <c r="AV45" s="26">
        <f>AW45+AX45</f>
        <v>0</v>
      </c>
      <c r="AW45" s="26">
        <f>J45*AO45</f>
        <v>0</v>
      </c>
      <c r="AX45" s="26">
        <f>J45*AP45</f>
        <v>0</v>
      </c>
      <c r="AY45" s="29" t="s">
        <v>255</v>
      </c>
      <c r="AZ45" s="29" t="s">
        <v>268</v>
      </c>
      <c r="BA45" s="25" t="s">
        <v>272</v>
      </c>
      <c r="BC45" s="26">
        <f>AW45+AX45</f>
        <v>0</v>
      </c>
      <c r="BD45" s="26">
        <f>K45/(100-BE45)*100</f>
        <v>0</v>
      </c>
      <c r="BE45" s="26">
        <v>0</v>
      </c>
      <c r="BF45" s="26">
        <f>45</f>
        <v>45</v>
      </c>
      <c r="BH45" s="16">
        <f>J45*AO45</f>
        <v>0</v>
      </c>
      <c r="BI45" s="16">
        <f>J45*AP45</f>
        <v>0</v>
      </c>
      <c r="BJ45" s="16">
        <f>J45*K45</f>
        <v>0</v>
      </c>
    </row>
    <row r="46" spans="1:47" ht="12.75">
      <c r="A46" s="5"/>
      <c r="B46" s="13" t="s">
        <v>100</v>
      </c>
      <c r="C46" s="100" t="s">
        <v>175</v>
      </c>
      <c r="D46" s="101"/>
      <c r="E46" s="101"/>
      <c r="F46" s="101"/>
      <c r="G46" s="101"/>
      <c r="H46" s="101"/>
      <c r="I46" s="5" t="s">
        <v>6</v>
      </c>
      <c r="J46" s="5" t="s">
        <v>6</v>
      </c>
      <c r="K46" s="5" t="s">
        <v>6</v>
      </c>
      <c r="L46" s="31">
        <f>SUM(L47:L53)</f>
        <v>0</v>
      </c>
      <c r="AI46" s="25"/>
      <c r="AS46" s="31">
        <f>SUM(AJ47:AJ53)</f>
        <v>0</v>
      </c>
      <c r="AT46" s="31">
        <f>SUM(AK47:AK53)</f>
        <v>0</v>
      </c>
      <c r="AU46" s="31">
        <f>SUM(AL47:AL53)</f>
        <v>0</v>
      </c>
    </row>
    <row r="47" spans="1:62" ht="12.75">
      <c r="A47" s="4" t="s">
        <v>35</v>
      </c>
      <c r="B47" s="4" t="s">
        <v>101</v>
      </c>
      <c r="C47" s="98" t="s">
        <v>176</v>
      </c>
      <c r="D47" s="99"/>
      <c r="E47" s="99"/>
      <c r="F47" s="99"/>
      <c r="G47" s="99"/>
      <c r="H47" s="99"/>
      <c r="I47" s="4" t="s">
        <v>227</v>
      </c>
      <c r="J47" s="16">
        <v>7.5746</v>
      </c>
      <c r="K47" s="16">
        <v>0</v>
      </c>
      <c r="L47" s="16">
        <f aca="true" t="shared" si="20" ref="L47:L53">J47*K47</f>
        <v>0</v>
      </c>
      <c r="Z47" s="26">
        <f aca="true" t="shared" si="21" ref="Z47:Z53">IF(AQ47="5",BJ47,0)</f>
        <v>0</v>
      </c>
      <c r="AB47" s="26">
        <f aca="true" t="shared" si="22" ref="AB47:AB53">IF(AQ47="1",BH47,0)</f>
        <v>0</v>
      </c>
      <c r="AC47" s="26">
        <f aca="true" t="shared" si="23" ref="AC47:AC53">IF(AQ47="1",BI47,0)</f>
        <v>0</v>
      </c>
      <c r="AD47" s="26">
        <f aca="true" t="shared" si="24" ref="AD47:AD53">IF(AQ47="7",BH47,0)</f>
        <v>0</v>
      </c>
      <c r="AE47" s="26">
        <f aca="true" t="shared" si="25" ref="AE47:AE53">IF(AQ47="7",BI47,0)</f>
        <v>0</v>
      </c>
      <c r="AF47" s="26">
        <f aca="true" t="shared" si="26" ref="AF47:AF53">IF(AQ47="2",BH47,0)</f>
        <v>0</v>
      </c>
      <c r="AG47" s="26">
        <f aca="true" t="shared" si="27" ref="AG47:AG53">IF(AQ47="2",BI47,0)</f>
        <v>0</v>
      </c>
      <c r="AH47" s="26">
        <f aca="true" t="shared" si="28" ref="AH47:AH53">IF(AQ47="0",BJ47,0)</f>
        <v>0</v>
      </c>
      <c r="AI47" s="25"/>
      <c r="AJ47" s="16">
        <f aca="true" t="shared" si="29" ref="AJ47:AJ53">IF(AN47=0,L47,0)</f>
        <v>0</v>
      </c>
      <c r="AK47" s="16">
        <f aca="true" t="shared" si="30" ref="AK47:AK53">IF(AN47=15,L47,0)</f>
        <v>0</v>
      </c>
      <c r="AL47" s="16">
        <f aca="true" t="shared" si="31" ref="AL47:AL53">IF(AN47=21,L47,0)</f>
        <v>0</v>
      </c>
      <c r="AN47" s="26">
        <v>21</v>
      </c>
      <c r="AO47" s="26">
        <f>K47*0</f>
        <v>0</v>
      </c>
      <c r="AP47" s="26">
        <f>K47*(1-0)</f>
        <v>0</v>
      </c>
      <c r="AQ47" s="27" t="s">
        <v>13</v>
      </c>
      <c r="AV47" s="26">
        <f aca="true" t="shared" si="32" ref="AV47:AV53">AW47+AX47</f>
        <v>0</v>
      </c>
      <c r="AW47" s="26">
        <f aca="true" t="shared" si="33" ref="AW47:AW53">J47*AO47</f>
        <v>0</v>
      </c>
      <c r="AX47" s="26">
        <f aca="true" t="shared" si="34" ref="AX47:AX53">J47*AP47</f>
        <v>0</v>
      </c>
      <c r="AY47" s="29" t="s">
        <v>256</v>
      </c>
      <c r="AZ47" s="29" t="s">
        <v>269</v>
      </c>
      <c r="BA47" s="25" t="s">
        <v>272</v>
      </c>
      <c r="BC47" s="26">
        <f aca="true" t="shared" si="35" ref="BC47:BC53">AW47+AX47</f>
        <v>0</v>
      </c>
      <c r="BD47" s="26">
        <f aca="true" t="shared" si="36" ref="BD47:BD53">K47/(100-BE47)*100</f>
        <v>0</v>
      </c>
      <c r="BE47" s="26">
        <v>0</v>
      </c>
      <c r="BF47" s="26">
        <f>47</f>
        <v>47</v>
      </c>
      <c r="BH47" s="16">
        <f aca="true" t="shared" si="37" ref="BH47:BH53">J47*AO47</f>
        <v>0</v>
      </c>
      <c r="BI47" s="16">
        <f aca="true" t="shared" si="38" ref="BI47:BI53">J47*AP47</f>
        <v>0</v>
      </c>
      <c r="BJ47" s="16">
        <f aca="true" t="shared" si="39" ref="BJ47:BJ53">J47*K47</f>
        <v>0</v>
      </c>
    </row>
    <row r="48" spans="1:62" ht="12.75">
      <c r="A48" s="4" t="s">
        <v>36</v>
      </c>
      <c r="B48" s="4" t="s">
        <v>102</v>
      </c>
      <c r="C48" s="98" t="s">
        <v>177</v>
      </c>
      <c r="D48" s="99"/>
      <c r="E48" s="99"/>
      <c r="F48" s="99"/>
      <c r="G48" s="99"/>
      <c r="H48" s="99"/>
      <c r="I48" s="4" t="s">
        <v>227</v>
      </c>
      <c r="J48" s="16">
        <v>7.5746</v>
      </c>
      <c r="K48" s="16">
        <v>0</v>
      </c>
      <c r="L48" s="16">
        <f t="shared" si="20"/>
        <v>0</v>
      </c>
      <c r="Z48" s="26">
        <f t="shared" si="21"/>
        <v>0</v>
      </c>
      <c r="AB48" s="26">
        <f t="shared" si="22"/>
        <v>0</v>
      </c>
      <c r="AC48" s="26">
        <f t="shared" si="23"/>
        <v>0</v>
      </c>
      <c r="AD48" s="26">
        <f t="shared" si="24"/>
        <v>0</v>
      </c>
      <c r="AE48" s="26">
        <f t="shared" si="25"/>
        <v>0</v>
      </c>
      <c r="AF48" s="26">
        <f t="shared" si="26"/>
        <v>0</v>
      </c>
      <c r="AG48" s="26">
        <f t="shared" si="27"/>
        <v>0</v>
      </c>
      <c r="AH48" s="26">
        <f t="shared" si="28"/>
        <v>0</v>
      </c>
      <c r="AI48" s="25"/>
      <c r="AJ48" s="16">
        <f t="shared" si="29"/>
        <v>0</v>
      </c>
      <c r="AK48" s="16">
        <f t="shared" si="30"/>
        <v>0</v>
      </c>
      <c r="AL48" s="16">
        <f t="shared" si="31"/>
        <v>0</v>
      </c>
      <c r="AN48" s="26">
        <v>21</v>
      </c>
      <c r="AO48" s="26">
        <f>K48*0.718716606953607</f>
        <v>0</v>
      </c>
      <c r="AP48" s="26">
        <f>K48*(1-0.718716606953607)</f>
        <v>0</v>
      </c>
      <c r="AQ48" s="27" t="s">
        <v>13</v>
      </c>
      <c r="AV48" s="26">
        <f t="shared" si="32"/>
        <v>0</v>
      </c>
      <c r="AW48" s="26">
        <f t="shared" si="33"/>
        <v>0</v>
      </c>
      <c r="AX48" s="26">
        <f t="shared" si="34"/>
        <v>0</v>
      </c>
      <c r="AY48" s="29" t="s">
        <v>256</v>
      </c>
      <c r="AZ48" s="29" t="s">
        <v>269</v>
      </c>
      <c r="BA48" s="25" t="s">
        <v>272</v>
      </c>
      <c r="BC48" s="26">
        <f t="shared" si="35"/>
        <v>0</v>
      </c>
      <c r="BD48" s="26">
        <f t="shared" si="36"/>
        <v>0</v>
      </c>
      <c r="BE48" s="26">
        <v>0</v>
      </c>
      <c r="BF48" s="26">
        <f>48</f>
        <v>48</v>
      </c>
      <c r="BH48" s="16">
        <f t="shared" si="37"/>
        <v>0</v>
      </c>
      <c r="BI48" s="16">
        <f t="shared" si="38"/>
        <v>0</v>
      </c>
      <c r="BJ48" s="16">
        <f t="shared" si="39"/>
        <v>0</v>
      </c>
    </row>
    <row r="49" spans="1:62" ht="12.75">
      <c r="A49" s="4" t="s">
        <v>37</v>
      </c>
      <c r="B49" s="4" t="s">
        <v>103</v>
      </c>
      <c r="C49" s="98" t="s">
        <v>178</v>
      </c>
      <c r="D49" s="99"/>
      <c r="E49" s="99"/>
      <c r="F49" s="99"/>
      <c r="G49" s="99"/>
      <c r="H49" s="99"/>
      <c r="I49" s="4" t="s">
        <v>227</v>
      </c>
      <c r="J49" s="16">
        <v>7.5746</v>
      </c>
      <c r="K49" s="16">
        <v>0</v>
      </c>
      <c r="L49" s="16">
        <f t="shared" si="20"/>
        <v>0</v>
      </c>
      <c r="Z49" s="26">
        <f t="shared" si="21"/>
        <v>0</v>
      </c>
      <c r="AB49" s="26">
        <f t="shared" si="22"/>
        <v>0</v>
      </c>
      <c r="AC49" s="26">
        <f t="shared" si="23"/>
        <v>0</v>
      </c>
      <c r="AD49" s="26">
        <f t="shared" si="24"/>
        <v>0</v>
      </c>
      <c r="AE49" s="26">
        <f t="shared" si="25"/>
        <v>0</v>
      </c>
      <c r="AF49" s="26">
        <f t="shared" si="26"/>
        <v>0</v>
      </c>
      <c r="AG49" s="26">
        <f t="shared" si="27"/>
        <v>0</v>
      </c>
      <c r="AH49" s="26">
        <f t="shared" si="28"/>
        <v>0</v>
      </c>
      <c r="AI49" s="25"/>
      <c r="AJ49" s="16">
        <f t="shared" si="29"/>
        <v>0</v>
      </c>
      <c r="AK49" s="16">
        <f t="shared" si="30"/>
        <v>0</v>
      </c>
      <c r="AL49" s="16">
        <f t="shared" si="31"/>
        <v>0</v>
      </c>
      <c r="AN49" s="26">
        <v>21</v>
      </c>
      <c r="AO49" s="26">
        <f>K49*0.466665209244222</f>
        <v>0</v>
      </c>
      <c r="AP49" s="26">
        <f>K49*(1-0.466665209244222)</f>
        <v>0</v>
      </c>
      <c r="AQ49" s="27" t="s">
        <v>13</v>
      </c>
      <c r="AV49" s="26">
        <f t="shared" si="32"/>
        <v>0</v>
      </c>
      <c r="AW49" s="26">
        <f t="shared" si="33"/>
        <v>0</v>
      </c>
      <c r="AX49" s="26">
        <f t="shared" si="34"/>
        <v>0</v>
      </c>
      <c r="AY49" s="29" t="s">
        <v>256</v>
      </c>
      <c r="AZ49" s="29" t="s">
        <v>269</v>
      </c>
      <c r="BA49" s="25" t="s">
        <v>272</v>
      </c>
      <c r="BC49" s="26">
        <f t="shared" si="35"/>
        <v>0</v>
      </c>
      <c r="BD49" s="26">
        <f t="shared" si="36"/>
        <v>0</v>
      </c>
      <c r="BE49" s="26">
        <v>0</v>
      </c>
      <c r="BF49" s="26">
        <f>49</f>
        <v>49</v>
      </c>
      <c r="BH49" s="16">
        <f t="shared" si="37"/>
        <v>0</v>
      </c>
      <c r="BI49" s="16">
        <f t="shared" si="38"/>
        <v>0</v>
      </c>
      <c r="BJ49" s="16">
        <f t="shared" si="39"/>
        <v>0</v>
      </c>
    </row>
    <row r="50" spans="1:62" ht="12.75">
      <c r="A50" s="4" t="s">
        <v>38</v>
      </c>
      <c r="B50" s="4" t="s">
        <v>104</v>
      </c>
      <c r="C50" s="98" t="s">
        <v>179</v>
      </c>
      <c r="D50" s="99"/>
      <c r="E50" s="99"/>
      <c r="F50" s="99"/>
      <c r="G50" s="99"/>
      <c r="H50" s="99"/>
      <c r="I50" s="4" t="s">
        <v>227</v>
      </c>
      <c r="J50" s="16">
        <v>7.5746</v>
      </c>
      <c r="K50" s="16">
        <v>0</v>
      </c>
      <c r="L50" s="16">
        <f t="shared" si="20"/>
        <v>0</v>
      </c>
      <c r="Z50" s="26">
        <f t="shared" si="21"/>
        <v>0</v>
      </c>
      <c r="AB50" s="26">
        <f t="shared" si="22"/>
        <v>0</v>
      </c>
      <c r="AC50" s="26">
        <f t="shared" si="23"/>
        <v>0</v>
      </c>
      <c r="AD50" s="26">
        <f t="shared" si="24"/>
        <v>0</v>
      </c>
      <c r="AE50" s="26">
        <f t="shared" si="25"/>
        <v>0</v>
      </c>
      <c r="AF50" s="26">
        <f t="shared" si="26"/>
        <v>0</v>
      </c>
      <c r="AG50" s="26">
        <f t="shared" si="27"/>
        <v>0</v>
      </c>
      <c r="AH50" s="26">
        <f t="shared" si="28"/>
        <v>0</v>
      </c>
      <c r="AI50" s="25"/>
      <c r="AJ50" s="16">
        <f t="shared" si="29"/>
        <v>0</v>
      </c>
      <c r="AK50" s="16">
        <f t="shared" si="30"/>
        <v>0</v>
      </c>
      <c r="AL50" s="16">
        <f t="shared" si="31"/>
        <v>0</v>
      </c>
      <c r="AN50" s="26">
        <v>21</v>
      </c>
      <c r="AO50" s="26">
        <f>K50*0.173321983946166</f>
        <v>0</v>
      </c>
      <c r="AP50" s="26">
        <f>K50*(1-0.173321983946166)</f>
        <v>0</v>
      </c>
      <c r="AQ50" s="27" t="s">
        <v>13</v>
      </c>
      <c r="AV50" s="26">
        <f t="shared" si="32"/>
        <v>0</v>
      </c>
      <c r="AW50" s="26">
        <f t="shared" si="33"/>
        <v>0</v>
      </c>
      <c r="AX50" s="26">
        <f t="shared" si="34"/>
        <v>0</v>
      </c>
      <c r="AY50" s="29" t="s">
        <v>256</v>
      </c>
      <c r="AZ50" s="29" t="s">
        <v>269</v>
      </c>
      <c r="BA50" s="25" t="s">
        <v>272</v>
      </c>
      <c r="BC50" s="26">
        <f t="shared" si="35"/>
        <v>0</v>
      </c>
      <c r="BD50" s="26">
        <f t="shared" si="36"/>
        <v>0</v>
      </c>
      <c r="BE50" s="26">
        <v>0</v>
      </c>
      <c r="BF50" s="26">
        <f>50</f>
        <v>50</v>
      </c>
      <c r="BH50" s="16">
        <f t="shared" si="37"/>
        <v>0</v>
      </c>
      <c r="BI50" s="16">
        <f t="shared" si="38"/>
        <v>0</v>
      </c>
      <c r="BJ50" s="16">
        <f t="shared" si="39"/>
        <v>0</v>
      </c>
    </row>
    <row r="51" spans="1:62" ht="12.75">
      <c r="A51" s="6" t="s">
        <v>39</v>
      </c>
      <c r="B51" s="6" t="s">
        <v>105</v>
      </c>
      <c r="C51" s="102" t="s">
        <v>180</v>
      </c>
      <c r="D51" s="103"/>
      <c r="E51" s="103"/>
      <c r="F51" s="103"/>
      <c r="G51" s="103"/>
      <c r="H51" s="103"/>
      <c r="I51" s="6" t="s">
        <v>227</v>
      </c>
      <c r="J51" s="17">
        <v>8.33206</v>
      </c>
      <c r="K51" s="17">
        <v>0</v>
      </c>
      <c r="L51" s="17">
        <f t="shared" si="20"/>
        <v>0</v>
      </c>
      <c r="Z51" s="26">
        <f t="shared" si="21"/>
        <v>0</v>
      </c>
      <c r="AB51" s="26">
        <f t="shared" si="22"/>
        <v>0</v>
      </c>
      <c r="AC51" s="26">
        <f t="shared" si="23"/>
        <v>0</v>
      </c>
      <c r="AD51" s="26">
        <f t="shared" si="24"/>
        <v>0</v>
      </c>
      <c r="AE51" s="26">
        <f t="shared" si="25"/>
        <v>0</v>
      </c>
      <c r="AF51" s="26">
        <f t="shared" si="26"/>
        <v>0</v>
      </c>
      <c r="AG51" s="26">
        <f t="shared" si="27"/>
        <v>0</v>
      </c>
      <c r="AH51" s="26">
        <f t="shared" si="28"/>
        <v>0</v>
      </c>
      <c r="AI51" s="25"/>
      <c r="AJ51" s="17">
        <f t="shared" si="29"/>
        <v>0</v>
      </c>
      <c r="AK51" s="17">
        <f t="shared" si="30"/>
        <v>0</v>
      </c>
      <c r="AL51" s="17">
        <f t="shared" si="31"/>
        <v>0</v>
      </c>
      <c r="AN51" s="26">
        <v>21</v>
      </c>
      <c r="AO51" s="26">
        <f>K51*1</f>
        <v>0</v>
      </c>
      <c r="AP51" s="26">
        <f>K51*(1-1)</f>
        <v>0</v>
      </c>
      <c r="AQ51" s="28" t="s">
        <v>13</v>
      </c>
      <c r="AV51" s="26">
        <f t="shared" si="32"/>
        <v>0</v>
      </c>
      <c r="AW51" s="26">
        <f t="shared" si="33"/>
        <v>0</v>
      </c>
      <c r="AX51" s="26">
        <f t="shared" si="34"/>
        <v>0</v>
      </c>
      <c r="AY51" s="29" t="s">
        <v>256</v>
      </c>
      <c r="AZ51" s="29" t="s">
        <v>269</v>
      </c>
      <c r="BA51" s="25" t="s">
        <v>272</v>
      </c>
      <c r="BC51" s="26">
        <f t="shared" si="35"/>
        <v>0</v>
      </c>
      <c r="BD51" s="26">
        <f t="shared" si="36"/>
        <v>0</v>
      </c>
      <c r="BE51" s="26">
        <v>0</v>
      </c>
      <c r="BF51" s="26">
        <f>51</f>
        <v>51</v>
      </c>
      <c r="BH51" s="17">
        <f t="shared" si="37"/>
        <v>0</v>
      </c>
      <c r="BI51" s="17">
        <f t="shared" si="38"/>
        <v>0</v>
      </c>
      <c r="BJ51" s="17">
        <f t="shared" si="39"/>
        <v>0</v>
      </c>
    </row>
    <row r="52" spans="1:62" ht="12.75">
      <c r="A52" s="4" t="s">
        <v>40</v>
      </c>
      <c r="B52" s="4" t="s">
        <v>106</v>
      </c>
      <c r="C52" s="98" t="s">
        <v>181</v>
      </c>
      <c r="D52" s="99"/>
      <c r="E52" s="99"/>
      <c r="F52" s="99"/>
      <c r="G52" s="99"/>
      <c r="H52" s="99"/>
      <c r="I52" s="4" t="s">
        <v>233</v>
      </c>
      <c r="J52" s="16">
        <v>4.84</v>
      </c>
      <c r="K52" s="16">
        <v>0</v>
      </c>
      <c r="L52" s="16">
        <f t="shared" si="20"/>
        <v>0</v>
      </c>
      <c r="Z52" s="26">
        <f t="shared" si="21"/>
        <v>0</v>
      </c>
      <c r="AB52" s="26">
        <f t="shared" si="22"/>
        <v>0</v>
      </c>
      <c r="AC52" s="26">
        <f t="shared" si="23"/>
        <v>0</v>
      </c>
      <c r="AD52" s="26">
        <f t="shared" si="24"/>
        <v>0</v>
      </c>
      <c r="AE52" s="26">
        <f t="shared" si="25"/>
        <v>0</v>
      </c>
      <c r="AF52" s="26">
        <f t="shared" si="26"/>
        <v>0</v>
      </c>
      <c r="AG52" s="26">
        <f t="shared" si="27"/>
        <v>0</v>
      </c>
      <c r="AH52" s="26">
        <f t="shared" si="28"/>
        <v>0</v>
      </c>
      <c r="AI52" s="25"/>
      <c r="AJ52" s="16">
        <f t="shared" si="29"/>
        <v>0</v>
      </c>
      <c r="AK52" s="16">
        <f t="shared" si="30"/>
        <v>0</v>
      </c>
      <c r="AL52" s="16">
        <f t="shared" si="31"/>
        <v>0</v>
      </c>
      <c r="AN52" s="26">
        <v>21</v>
      </c>
      <c r="AO52" s="26">
        <f>K52*0.750328024572376</f>
        <v>0</v>
      </c>
      <c r="AP52" s="26">
        <f>K52*(1-0.750328024572376)</f>
        <v>0</v>
      </c>
      <c r="AQ52" s="27" t="s">
        <v>13</v>
      </c>
      <c r="AV52" s="26">
        <f t="shared" si="32"/>
        <v>0</v>
      </c>
      <c r="AW52" s="26">
        <f t="shared" si="33"/>
        <v>0</v>
      </c>
      <c r="AX52" s="26">
        <f t="shared" si="34"/>
        <v>0</v>
      </c>
      <c r="AY52" s="29" t="s">
        <v>256</v>
      </c>
      <c r="AZ52" s="29" t="s">
        <v>269</v>
      </c>
      <c r="BA52" s="25" t="s">
        <v>272</v>
      </c>
      <c r="BC52" s="26">
        <f t="shared" si="35"/>
        <v>0</v>
      </c>
      <c r="BD52" s="26">
        <f t="shared" si="36"/>
        <v>0</v>
      </c>
      <c r="BE52" s="26">
        <v>0</v>
      </c>
      <c r="BF52" s="26">
        <f>52</f>
        <v>52</v>
      </c>
      <c r="BH52" s="16">
        <f t="shared" si="37"/>
        <v>0</v>
      </c>
      <c r="BI52" s="16">
        <f t="shared" si="38"/>
        <v>0</v>
      </c>
      <c r="BJ52" s="16">
        <f t="shared" si="39"/>
        <v>0</v>
      </c>
    </row>
    <row r="53" spans="1:62" ht="12.75">
      <c r="A53" s="4" t="s">
        <v>41</v>
      </c>
      <c r="B53" s="4" t="s">
        <v>107</v>
      </c>
      <c r="C53" s="98" t="s">
        <v>182</v>
      </c>
      <c r="D53" s="99"/>
      <c r="E53" s="99"/>
      <c r="F53" s="99"/>
      <c r="G53" s="99"/>
      <c r="H53" s="99"/>
      <c r="I53" s="4" t="s">
        <v>228</v>
      </c>
      <c r="J53" s="16">
        <v>156.3756</v>
      </c>
      <c r="K53" s="16">
        <v>0</v>
      </c>
      <c r="L53" s="16">
        <f t="shared" si="20"/>
        <v>0</v>
      </c>
      <c r="Z53" s="26">
        <f t="shared" si="21"/>
        <v>0</v>
      </c>
      <c r="AB53" s="26">
        <f t="shared" si="22"/>
        <v>0</v>
      </c>
      <c r="AC53" s="26">
        <f t="shared" si="23"/>
        <v>0</v>
      </c>
      <c r="AD53" s="26">
        <f t="shared" si="24"/>
        <v>0</v>
      </c>
      <c r="AE53" s="26">
        <f t="shared" si="25"/>
        <v>0</v>
      </c>
      <c r="AF53" s="26">
        <f t="shared" si="26"/>
        <v>0</v>
      </c>
      <c r="AG53" s="26">
        <f t="shared" si="27"/>
        <v>0</v>
      </c>
      <c r="AH53" s="26">
        <f t="shared" si="28"/>
        <v>0</v>
      </c>
      <c r="AI53" s="25"/>
      <c r="AJ53" s="16">
        <f t="shared" si="29"/>
        <v>0</v>
      </c>
      <c r="AK53" s="16">
        <f t="shared" si="30"/>
        <v>0</v>
      </c>
      <c r="AL53" s="16">
        <f t="shared" si="31"/>
        <v>0</v>
      </c>
      <c r="AN53" s="26">
        <v>21</v>
      </c>
      <c r="AO53" s="26">
        <f>K53*0</f>
        <v>0</v>
      </c>
      <c r="AP53" s="26">
        <f>K53*(1-0)</f>
        <v>0</v>
      </c>
      <c r="AQ53" s="27" t="s">
        <v>11</v>
      </c>
      <c r="AV53" s="26">
        <f t="shared" si="32"/>
        <v>0</v>
      </c>
      <c r="AW53" s="26">
        <f t="shared" si="33"/>
        <v>0</v>
      </c>
      <c r="AX53" s="26">
        <f t="shared" si="34"/>
        <v>0</v>
      </c>
      <c r="AY53" s="29" t="s">
        <v>256</v>
      </c>
      <c r="AZ53" s="29" t="s">
        <v>269</v>
      </c>
      <c r="BA53" s="25" t="s">
        <v>272</v>
      </c>
      <c r="BC53" s="26">
        <f t="shared" si="35"/>
        <v>0</v>
      </c>
      <c r="BD53" s="26">
        <f t="shared" si="36"/>
        <v>0</v>
      </c>
      <c r="BE53" s="26">
        <v>0</v>
      </c>
      <c r="BF53" s="26">
        <f>53</f>
        <v>53</v>
      </c>
      <c r="BH53" s="16">
        <f t="shared" si="37"/>
        <v>0</v>
      </c>
      <c r="BI53" s="16">
        <f t="shared" si="38"/>
        <v>0</v>
      </c>
      <c r="BJ53" s="16">
        <f t="shared" si="39"/>
        <v>0</v>
      </c>
    </row>
    <row r="54" spans="1:47" ht="12.75">
      <c r="A54" s="5"/>
      <c r="B54" s="13" t="s">
        <v>108</v>
      </c>
      <c r="C54" s="100" t="s">
        <v>183</v>
      </c>
      <c r="D54" s="101"/>
      <c r="E54" s="101"/>
      <c r="F54" s="101"/>
      <c r="G54" s="101"/>
      <c r="H54" s="101"/>
      <c r="I54" s="5" t="s">
        <v>6</v>
      </c>
      <c r="J54" s="5" t="s">
        <v>6</v>
      </c>
      <c r="K54" s="5" t="s">
        <v>6</v>
      </c>
      <c r="L54" s="31">
        <f>SUM(L55:L60)</f>
        <v>0</v>
      </c>
      <c r="AI54" s="25"/>
      <c r="AS54" s="31">
        <f>SUM(AJ55:AJ60)</f>
        <v>0</v>
      </c>
      <c r="AT54" s="31">
        <f>SUM(AK55:AK60)</f>
        <v>0</v>
      </c>
      <c r="AU54" s="31">
        <f>SUM(AL55:AL60)</f>
        <v>0</v>
      </c>
    </row>
    <row r="55" spans="1:62" ht="12.75">
      <c r="A55" s="4" t="s">
        <v>42</v>
      </c>
      <c r="B55" s="4" t="s">
        <v>109</v>
      </c>
      <c r="C55" s="98" t="s">
        <v>184</v>
      </c>
      <c r="D55" s="99"/>
      <c r="E55" s="99"/>
      <c r="F55" s="99"/>
      <c r="G55" s="99"/>
      <c r="H55" s="99"/>
      <c r="I55" s="4" t="s">
        <v>227</v>
      </c>
      <c r="J55" s="16">
        <v>19.387</v>
      </c>
      <c r="K55" s="16">
        <v>0</v>
      </c>
      <c r="L55" s="16">
        <f aca="true" t="shared" si="40" ref="L55:L60">J55*K55</f>
        <v>0</v>
      </c>
      <c r="Z55" s="26">
        <f aca="true" t="shared" si="41" ref="Z55:Z60">IF(AQ55="5",BJ55,0)</f>
        <v>0</v>
      </c>
      <c r="AB55" s="26">
        <f aca="true" t="shared" si="42" ref="AB55:AB60">IF(AQ55="1",BH55,0)</f>
        <v>0</v>
      </c>
      <c r="AC55" s="26">
        <f aca="true" t="shared" si="43" ref="AC55:AC60">IF(AQ55="1",BI55,0)</f>
        <v>0</v>
      </c>
      <c r="AD55" s="26">
        <f aca="true" t="shared" si="44" ref="AD55:AD60">IF(AQ55="7",BH55,0)</f>
        <v>0</v>
      </c>
      <c r="AE55" s="26">
        <f aca="true" t="shared" si="45" ref="AE55:AE60">IF(AQ55="7",BI55,0)</f>
        <v>0</v>
      </c>
      <c r="AF55" s="26">
        <f aca="true" t="shared" si="46" ref="AF55:AF60">IF(AQ55="2",BH55,0)</f>
        <v>0</v>
      </c>
      <c r="AG55" s="26">
        <f aca="true" t="shared" si="47" ref="AG55:AG60">IF(AQ55="2",BI55,0)</f>
        <v>0</v>
      </c>
      <c r="AH55" s="26">
        <f aca="true" t="shared" si="48" ref="AH55:AH60">IF(AQ55="0",BJ55,0)</f>
        <v>0</v>
      </c>
      <c r="AI55" s="25"/>
      <c r="AJ55" s="16">
        <f aca="true" t="shared" si="49" ref="AJ55:AJ60">IF(AN55=0,L55,0)</f>
        <v>0</v>
      </c>
      <c r="AK55" s="16">
        <f aca="true" t="shared" si="50" ref="AK55:AK60">IF(AN55=15,L55,0)</f>
        <v>0</v>
      </c>
      <c r="AL55" s="16">
        <f aca="true" t="shared" si="51" ref="AL55:AL60">IF(AN55=21,L55,0)</f>
        <v>0</v>
      </c>
      <c r="AN55" s="26">
        <v>21</v>
      </c>
      <c r="AO55" s="26">
        <f>K55*0.137764529372103</f>
        <v>0</v>
      </c>
      <c r="AP55" s="26">
        <f>K55*(1-0.137764529372103)</f>
        <v>0</v>
      </c>
      <c r="AQ55" s="27" t="s">
        <v>13</v>
      </c>
      <c r="AV55" s="26">
        <f aca="true" t="shared" si="52" ref="AV55:AV60">AW55+AX55</f>
        <v>0</v>
      </c>
      <c r="AW55" s="26">
        <f aca="true" t="shared" si="53" ref="AW55:AW60">J55*AO55</f>
        <v>0</v>
      </c>
      <c r="AX55" s="26">
        <f aca="true" t="shared" si="54" ref="AX55:AX60">J55*AP55</f>
        <v>0</v>
      </c>
      <c r="AY55" s="29" t="s">
        <v>257</v>
      </c>
      <c r="AZ55" s="29" t="s">
        <v>270</v>
      </c>
      <c r="BA55" s="25" t="s">
        <v>272</v>
      </c>
      <c r="BC55" s="26">
        <f aca="true" t="shared" si="55" ref="BC55:BC60">AW55+AX55</f>
        <v>0</v>
      </c>
      <c r="BD55" s="26">
        <f aca="true" t="shared" si="56" ref="BD55:BD60">K55/(100-BE55)*100</f>
        <v>0</v>
      </c>
      <c r="BE55" s="26">
        <v>0</v>
      </c>
      <c r="BF55" s="26">
        <f>55</f>
        <v>55</v>
      </c>
      <c r="BH55" s="16">
        <f aca="true" t="shared" si="57" ref="BH55:BH60">J55*AO55</f>
        <v>0</v>
      </c>
      <c r="BI55" s="16">
        <f aca="true" t="shared" si="58" ref="BI55:BI60">J55*AP55</f>
        <v>0</v>
      </c>
      <c r="BJ55" s="16">
        <f aca="true" t="shared" si="59" ref="BJ55:BJ60">J55*K55</f>
        <v>0</v>
      </c>
    </row>
    <row r="56" spans="1:62" ht="12.75">
      <c r="A56" s="6" t="s">
        <v>43</v>
      </c>
      <c r="B56" s="6" t="s">
        <v>110</v>
      </c>
      <c r="C56" s="102" t="s">
        <v>185</v>
      </c>
      <c r="D56" s="103"/>
      <c r="E56" s="103"/>
      <c r="F56" s="103"/>
      <c r="G56" s="103"/>
      <c r="H56" s="103"/>
      <c r="I56" s="6" t="s">
        <v>227</v>
      </c>
      <c r="J56" s="17">
        <v>21.3257</v>
      </c>
      <c r="K56" s="17">
        <v>0</v>
      </c>
      <c r="L56" s="17">
        <f t="shared" si="40"/>
        <v>0</v>
      </c>
      <c r="Z56" s="26">
        <f t="shared" si="41"/>
        <v>0</v>
      </c>
      <c r="AB56" s="26">
        <f t="shared" si="42"/>
        <v>0</v>
      </c>
      <c r="AC56" s="26">
        <f t="shared" si="43"/>
        <v>0</v>
      </c>
      <c r="AD56" s="26">
        <f t="shared" si="44"/>
        <v>0</v>
      </c>
      <c r="AE56" s="26">
        <f t="shared" si="45"/>
        <v>0</v>
      </c>
      <c r="AF56" s="26">
        <f t="shared" si="46"/>
        <v>0</v>
      </c>
      <c r="AG56" s="26">
        <f t="shared" si="47"/>
        <v>0</v>
      </c>
      <c r="AH56" s="26">
        <f t="shared" si="48"/>
        <v>0</v>
      </c>
      <c r="AI56" s="25"/>
      <c r="AJ56" s="17">
        <f t="shared" si="49"/>
        <v>0</v>
      </c>
      <c r="AK56" s="17">
        <f t="shared" si="50"/>
        <v>0</v>
      </c>
      <c r="AL56" s="17">
        <f t="shared" si="51"/>
        <v>0</v>
      </c>
      <c r="AN56" s="26">
        <v>21</v>
      </c>
      <c r="AO56" s="26">
        <f>K56*1</f>
        <v>0</v>
      </c>
      <c r="AP56" s="26">
        <f>K56*(1-1)</f>
        <v>0</v>
      </c>
      <c r="AQ56" s="28" t="s">
        <v>13</v>
      </c>
      <c r="AV56" s="26">
        <f t="shared" si="52"/>
        <v>0</v>
      </c>
      <c r="AW56" s="26">
        <f t="shared" si="53"/>
        <v>0</v>
      </c>
      <c r="AX56" s="26">
        <f t="shared" si="54"/>
        <v>0</v>
      </c>
      <c r="AY56" s="29" t="s">
        <v>257</v>
      </c>
      <c r="AZ56" s="29" t="s">
        <v>270</v>
      </c>
      <c r="BA56" s="25" t="s">
        <v>272</v>
      </c>
      <c r="BC56" s="26">
        <f t="shared" si="55"/>
        <v>0</v>
      </c>
      <c r="BD56" s="26">
        <f t="shared" si="56"/>
        <v>0</v>
      </c>
      <c r="BE56" s="26">
        <v>0</v>
      </c>
      <c r="BF56" s="26">
        <f>56</f>
        <v>56</v>
      </c>
      <c r="BH56" s="17">
        <f t="shared" si="57"/>
        <v>0</v>
      </c>
      <c r="BI56" s="17">
        <f t="shared" si="58"/>
        <v>0</v>
      </c>
      <c r="BJ56" s="17">
        <f t="shared" si="59"/>
        <v>0</v>
      </c>
    </row>
    <row r="57" spans="1:62" ht="12.75">
      <c r="A57" s="4" t="s">
        <v>44</v>
      </c>
      <c r="B57" s="4" t="s">
        <v>111</v>
      </c>
      <c r="C57" s="98" t="s">
        <v>186</v>
      </c>
      <c r="D57" s="99"/>
      <c r="E57" s="99"/>
      <c r="F57" s="99"/>
      <c r="G57" s="99"/>
      <c r="H57" s="99"/>
      <c r="I57" s="4" t="s">
        <v>227</v>
      </c>
      <c r="J57" s="16">
        <v>19.387</v>
      </c>
      <c r="K57" s="16">
        <v>0</v>
      </c>
      <c r="L57" s="16">
        <f t="shared" si="40"/>
        <v>0</v>
      </c>
      <c r="Z57" s="26">
        <f t="shared" si="41"/>
        <v>0</v>
      </c>
      <c r="AB57" s="26">
        <f t="shared" si="42"/>
        <v>0</v>
      </c>
      <c r="AC57" s="26">
        <f t="shared" si="43"/>
        <v>0</v>
      </c>
      <c r="AD57" s="26">
        <f t="shared" si="44"/>
        <v>0</v>
      </c>
      <c r="AE57" s="26">
        <f t="shared" si="45"/>
        <v>0</v>
      </c>
      <c r="AF57" s="26">
        <f t="shared" si="46"/>
        <v>0</v>
      </c>
      <c r="AG57" s="26">
        <f t="shared" si="47"/>
        <v>0</v>
      </c>
      <c r="AH57" s="26">
        <f t="shared" si="48"/>
        <v>0</v>
      </c>
      <c r="AI57" s="25"/>
      <c r="AJ57" s="16">
        <f t="shared" si="49"/>
        <v>0</v>
      </c>
      <c r="AK57" s="16">
        <f t="shared" si="50"/>
        <v>0</v>
      </c>
      <c r="AL57" s="16">
        <f t="shared" si="51"/>
        <v>0</v>
      </c>
      <c r="AN57" s="26">
        <v>21</v>
      </c>
      <c r="AO57" s="26">
        <f>K57*0</f>
        <v>0</v>
      </c>
      <c r="AP57" s="26">
        <f>K57*(1-0)</f>
        <v>0</v>
      </c>
      <c r="AQ57" s="27" t="s">
        <v>13</v>
      </c>
      <c r="AV57" s="26">
        <f t="shared" si="52"/>
        <v>0</v>
      </c>
      <c r="AW57" s="26">
        <f t="shared" si="53"/>
        <v>0</v>
      </c>
      <c r="AX57" s="26">
        <f t="shared" si="54"/>
        <v>0</v>
      </c>
      <c r="AY57" s="29" t="s">
        <v>257</v>
      </c>
      <c r="AZ57" s="29" t="s">
        <v>270</v>
      </c>
      <c r="BA57" s="25" t="s">
        <v>272</v>
      </c>
      <c r="BC57" s="26">
        <f t="shared" si="55"/>
        <v>0</v>
      </c>
      <c r="BD57" s="26">
        <f t="shared" si="56"/>
        <v>0</v>
      </c>
      <c r="BE57" s="26">
        <v>0</v>
      </c>
      <c r="BF57" s="26">
        <f>57</f>
        <v>57</v>
      </c>
      <c r="BH57" s="16">
        <f t="shared" si="57"/>
        <v>0</v>
      </c>
      <c r="BI57" s="16">
        <f t="shared" si="58"/>
        <v>0</v>
      </c>
      <c r="BJ57" s="16">
        <f t="shared" si="59"/>
        <v>0</v>
      </c>
    </row>
    <row r="58" spans="1:62" ht="12.75">
      <c r="A58" s="4" t="s">
        <v>45</v>
      </c>
      <c r="B58" s="4" t="s">
        <v>112</v>
      </c>
      <c r="C58" s="98" t="s">
        <v>187</v>
      </c>
      <c r="D58" s="99"/>
      <c r="E58" s="99"/>
      <c r="F58" s="99"/>
      <c r="G58" s="99"/>
      <c r="H58" s="99"/>
      <c r="I58" s="4" t="s">
        <v>227</v>
      </c>
      <c r="J58" s="16">
        <v>19.387</v>
      </c>
      <c r="K58" s="16">
        <v>0</v>
      </c>
      <c r="L58" s="16">
        <f t="shared" si="40"/>
        <v>0</v>
      </c>
      <c r="Z58" s="26">
        <f t="shared" si="41"/>
        <v>0</v>
      </c>
      <c r="AB58" s="26">
        <f t="shared" si="42"/>
        <v>0</v>
      </c>
      <c r="AC58" s="26">
        <f t="shared" si="43"/>
        <v>0</v>
      </c>
      <c r="AD58" s="26">
        <f t="shared" si="44"/>
        <v>0</v>
      </c>
      <c r="AE58" s="26">
        <f t="shared" si="45"/>
        <v>0</v>
      </c>
      <c r="AF58" s="26">
        <f t="shared" si="46"/>
        <v>0</v>
      </c>
      <c r="AG58" s="26">
        <f t="shared" si="47"/>
        <v>0</v>
      </c>
      <c r="AH58" s="26">
        <f t="shared" si="48"/>
        <v>0</v>
      </c>
      <c r="AI58" s="25"/>
      <c r="AJ58" s="16">
        <f t="shared" si="49"/>
        <v>0</v>
      </c>
      <c r="AK58" s="16">
        <f t="shared" si="50"/>
        <v>0</v>
      </c>
      <c r="AL58" s="16">
        <f t="shared" si="51"/>
        <v>0</v>
      </c>
      <c r="AN58" s="26">
        <v>21</v>
      </c>
      <c r="AO58" s="26">
        <f>K58*0.396591533740791</f>
        <v>0</v>
      </c>
      <c r="AP58" s="26">
        <f>K58*(1-0.396591533740791)</f>
        <v>0</v>
      </c>
      <c r="AQ58" s="27" t="s">
        <v>13</v>
      </c>
      <c r="AV58" s="26">
        <f t="shared" si="52"/>
        <v>0</v>
      </c>
      <c r="AW58" s="26">
        <f t="shared" si="53"/>
        <v>0</v>
      </c>
      <c r="AX58" s="26">
        <f t="shared" si="54"/>
        <v>0</v>
      </c>
      <c r="AY58" s="29" t="s">
        <v>257</v>
      </c>
      <c r="AZ58" s="29" t="s">
        <v>270</v>
      </c>
      <c r="BA58" s="25" t="s">
        <v>272</v>
      </c>
      <c r="BC58" s="26">
        <f t="shared" si="55"/>
        <v>0</v>
      </c>
      <c r="BD58" s="26">
        <f t="shared" si="56"/>
        <v>0</v>
      </c>
      <c r="BE58" s="26">
        <v>0</v>
      </c>
      <c r="BF58" s="26">
        <f>58</f>
        <v>58</v>
      </c>
      <c r="BH58" s="16">
        <f t="shared" si="57"/>
        <v>0</v>
      </c>
      <c r="BI58" s="16">
        <f t="shared" si="58"/>
        <v>0</v>
      </c>
      <c r="BJ58" s="16">
        <f t="shared" si="59"/>
        <v>0</v>
      </c>
    </row>
    <row r="59" spans="1:62" ht="12.75">
      <c r="A59" s="4" t="s">
        <v>46</v>
      </c>
      <c r="B59" s="4" t="s">
        <v>113</v>
      </c>
      <c r="C59" s="98" t="s">
        <v>188</v>
      </c>
      <c r="D59" s="99"/>
      <c r="E59" s="99"/>
      <c r="F59" s="99"/>
      <c r="G59" s="99"/>
      <c r="H59" s="99"/>
      <c r="I59" s="4" t="s">
        <v>233</v>
      </c>
      <c r="J59" s="16">
        <v>7.37</v>
      </c>
      <c r="K59" s="16">
        <v>0</v>
      </c>
      <c r="L59" s="16">
        <f t="shared" si="40"/>
        <v>0</v>
      </c>
      <c r="Z59" s="26">
        <f t="shared" si="41"/>
        <v>0</v>
      </c>
      <c r="AB59" s="26">
        <f t="shared" si="42"/>
        <v>0</v>
      </c>
      <c r="AC59" s="26">
        <f t="shared" si="43"/>
        <v>0</v>
      </c>
      <c r="AD59" s="26">
        <f t="shared" si="44"/>
        <v>0</v>
      </c>
      <c r="AE59" s="26">
        <f t="shared" si="45"/>
        <v>0</v>
      </c>
      <c r="AF59" s="26">
        <f t="shared" si="46"/>
        <v>0</v>
      </c>
      <c r="AG59" s="26">
        <f t="shared" si="47"/>
        <v>0</v>
      </c>
      <c r="AH59" s="26">
        <f t="shared" si="48"/>
        <v>0</v>
      </c>
      <c r="AI59" s="25"/>
      <c r="AJ59" s="16">
        <f t="shared" si="49"/>
        <v>0</v>
      </c>
      <c r="AK59" s="16">
        <f t="shared" si="50"/>
        <v>0</v>
      </c>
      <c r="AL59" s="16">
        <f t="shared" si="51"/>
        <v>0</v>
      </c>
      <c r="AN59" s="26">
        <v>21</v>
      </c>
      <c r="AO59" s="26">
        <f>K59*0.790045995826393</f>
        <v>0</v>
      </c>
      <c r="AP59" s="26">
        <f>K59*(1-0.790045995826393)</f>
        <v>0</v>
      </c>
      <c r="AQ59" s="27" t="s">
        <v>13</v>
      </c>
      <c r="AV59" s="26">
        <f t="shared" si="52"/>
        <v>0</v>
      </c>
      <c r="AW59" s="26">
        <f t="shared" si="53"/>
        <v>0</v>
      </c>
      <c r="AX59" s="26">
        <f t="shared" si="54"/>
        <v>0</v>
      </c>
      <c r="AY59" s="29" t="s">
        <v>257</v>
      </c>
      <c r="AZ59" s="29" t="s">
        <v>270</v>
      </c>
      <c r="BA59" s="25" t="s">
        <v>272</v>
      </c>
      <c r="BC59" s="26">
        <f t="shared" si="55"/>
        <v>0</v>
      </c>
      <c r="BD59" s="26">
        <f t="shared" si="56"/>
        <v>0</v>
      </c>
      <c r="BE59" s="26">
        <v>0</v>
      </c>
      <c r="BF59" s="26">
        <f>59</f>
        <v>59</v>
      </c>
      <c r="BH59" s="16">
        <f t="shared" si="57"/>
        <v>0</v>
      </c>
      <c r="BI59" s="16">
        <f t="shared" si="58"/>
        <v>0</v>
      </c>
      <c r="BJ59" s="16">
        <f t="shared" si="59"/>
        <v>0</v>
      </c>
    </row>
    <row r="60" spans="1:62" ht="12.75">
      <c r="A60" s="4" t="s">
        <v>47</v>
      </c>
      <c r="B60" s="4" t="s">
        <v>114</v>
      </c>
      <c r="C60" s="98" t="s">
        <v>189</v>
      </c>
      <c r="D60" s="99"/>
      <c r="E60" s="99"/>
      <c r="F60" s="99"/>
      <c r="G60" s="99"/>
      <c r="H60" s="99"/>
      <c r="I60" s="4" t="s">
        <v>228</v>
      </c>
      <c r="J60" s="16">
        <v>241.7885</v>
      </c>
      <c r="K60" s="16">
        <v>0</v>
      </c>
      <c r="L60" s="16">
        <f t="shared" si="40"/>
        <v>0</v>
      </c>
      <c r="Z60" s="26">
        <f t="shared" si="41"/>
        <v>0</v>
      </c>
      <c r="AB60" s="26">
        <f t="shared" si="42"/>
        <v>0</v>
      </c>
      <c r="AC60" s="26">
        <f t="shared" si="43"/>
        <v>0</v>
      </c>
      <c r="AD60" s="26">
        <f t="shared" si="44"/>
        <v>0</v>
      </c>
      <c r="AE60" s="26">
        <f t="shared" si="45"/>
        <v>0</v>
      </c>
      <c r="AF60" s="26">
        <f t="shared" si="46"/>
        <v>0</v>
      </c>
      <c r="AG60" s="26">
        <f t="shared" si="47"/>
        <v>0</v>
      </c>
      <c r="AH60" s="26">
        <f t="shared" si="48"/>
        <v>0</v>
      </c>
      <c r="AI60" s="25"/>
      <c r="AJ60" s="16">
        <f t="shared" si="49"/>
        <v>0</v>
      </c>
      <c r="AK60" s="16">
        <f t="shared" si="50"/>
        <v>0</v>
      </c>
      <c r="AL60" s="16">
        <f t="shared" si="51"/>
        <v>0</v>
      </c>
      <c r="AN60" s="26">
        <v>21</v>
      </c>
      <c r="AO60" s="26">
        <f>K60*0</f>
        <v>0</v>
      </c>
      <c r="AP60" s="26">
        <f>K60*(1-0)</f>
        <v>0</v>
      </c>
      <c r="AQ60" s="27" t="s">
        <v>11</v>
      </c>
      <c r="AV60" s="26">
        <f t="shared" si="52"/>
        <v>0</v>
      </c>
      <c r="AW60" s="26">
        <f t="shared" si="53"/>
        <v>0</v>
      </c>
      <c r="AX60" s="26">
        <f t="shared" si="54"/>
        <v>0</v>
      </c>
      <c r="AY60" s="29" t="s">
        <v>257</v>
      </c>
      <c r="AZ60" s="29" t="s">
        <v>270</v>
      </c>
      <c r="BA60" s="25" t="s">
        <v>272</v>
      </c>
      <c r="BC60" s="26">
        <f t="shared" si="55"/>
        <v>0</v>
      </c>
      <c r="BD60" s="26">
        <f t="shared" si="56"/>
        <v>0</v>
      </c>
      <c r="BE60" s="26">
        <v>0</v>
      </c>
      <c r="BF60" s="26">
        <f>60</f>
        <v>60</v>
      </c>
      <c r="BH60" s="16">
        <f t="shared" si="57"/>
        <v>0</v>
      </c>
      <c r="BI60" s="16">
        <f t="shared" si="58"/>
        <v>0</v>
      </c>
      <c r="BJ60" s="16">
        <f t="shared" si="59"/>
        <v>0</v>
      </c>
    </row>
    <row r="61" spans="1:47" ht="12.75">
      <c r="A61" s="5"/>
      <c r="B61" s="13" t="s">
        <v>115</v>
      </c>
      <c r="C61" s="100" t="s">
        <v>190</v>
      </c>
      <c r="D61" s="101"/>
      <c r="E61" s="101"/>
      <c r="F61" s="101"/>
      <c r="G61" s="101"/>
      <c r="H61" s="101"/>
      <c r="I61" s="5" t="s">
        <v>6</v>
      </c>
      <c r="J61" s="5" t="s">
        <v>6</v>
      </c>
      <c r="K61" s="5" t="s">
        <v>6</v>
      </c>
      <c r="L61" s="31">
        <f>SUM(L62:L66)</f>
        <v>0</v>
      </c>
      <c r="AI61" s="25"/>
      <c r="AS61" s="31">
        <f>SUM(AJ62:AJ66)</f>
        <v>0</v>
      </c>
      <c r="AT61" s="31">
        <f>SUM(AK62:AK66)</f>
        <v>0</v>
      </c>
      <c r="AU61" s="31">
        <f>SUM(AL62:AL66)</f>
        <v>0</v>
      </c>
    </row>
    <row r="62" spans="1:62" ht="12.75">
      <c r="A62" s="4" t="s">
        <v>48</v>
      </c>
      <c r="B62" s="4" t="s">
        <v>116</v>
      </c>
      <c r="C62" s="98" t="s">
        <v>191</v>
      </c>
      <c r="D62" s="99"/>
      <c r="E62" s="99"/>
      <c r="F62" s="99"/>
      <c r="G62" s="99"/>
      <c r="H62" s="99"/>
      <c r="I62" s="4" t="s">
        <v>227</v>
      </c>
      <c r="J62" s="16">
        <v>29.4835</v>
      </c>
      <c r="K62" s="16">
        <v>0</v>
      </c>
      <c r="L62" s="16">
        <f>J62*K62</f>
        <v>0</v>
      </c>
      <c r="Z62" s="26">
        <f>IF(AQ62="5",BJ62,0)</f>
        <v>0</v>
      </c>
      <c r="AB62" s="26">
        <f>IF(AQ62="1",BH62,0)</f>
        <v>0</v>
      </c>
      <c r="AC62" s="26">
        <f>IF(AQ62="1",BI62,0)</f>
        <v>0</v>
      </c>
      <c r="AD62" s="26">
        <f>IF(AQ62="7",BH62,0)</f>
        <v>0</v>
      </c>
      <c r="AE62" s="26">
        <f>IF(AQ62="7",BI62,0)</f>
        <v>0</v>
      </c>
      <c r="AF62" s="26">
        <f>IF(AQ62="2",BH62,0)</f>
        <v>0</v>
      </c>
      <c r="AG62" s="26">
        <f>IF(AQ62="2",BI62,0)</f>
        <v>0</v>
      </c>
      <c r="AH62" s="26">
        <f>IF(AQ62="0",BJ62,0)</f>
        <v>0</v>
      </c>
      <c r="AI62" s="25"/>
      <c r="AJ62" s="16">
        <f>IF(AN62=0,L62,0)</f>
        <v>0</v>
      </c>
      <c r="AK62" s="16">
        <f>IF(AN62=15,L62,0)</f>
        <v>0</v>
      </c>
      <c r="AL62" s="16">
        <f>IF(AN62=21,L62,0)</f>
        <v>0</v>
      </c>
      <c r="AN62" s="26">
        <v>21</v>
      </c>
      <c r="AO62" s="26">
        <f>K62*0.00271001889393862</f>
        <v>0</v>
      </c>
      <c r="AP62" s="26">
        <f>K62*(1-0.00271001889393862)</f>
        <v>0</v>
      </c>
      <c r="AQ62" s="27" t="s">
        <v>13</v>
      </c>
      <c r="AV62" s="26">
        <f>AW62+AX62</f>
        <v>0</v>
      </c>
      <c r="AW62" s="26">
        <f>J62*AO62</f>
        <v>0</v>
      </c>
      <c r="AX62" s="26">
        <f>J62*AP62</f>
        <v>0</v>
      </c>
      <c r="AY62" s="29" t="s">
        <v>258</v>
      </c>
      <c r="AZ62" s="29" t="s">
        <v>270</v>
      </c>
      <c r="BA62" s="25" t="s">
        <v>272</v>
      </c>
      <c r="BC62" s="26">
        <f>AW62+AX62</f>
        <v>0</v>
      </c>
      <c r="BD62" s="26">
        <f>K62/(100-BE62)*100</f>
        <v>0</v>
      </c>
      <c r="BE62" s="26">
        <v>0</v>
      </c>
      <c r="BF62" s="26">
        <f>62</f>
        <v>62</v>
      </c>
      <c r="BH62" s="16">
        <f>J62*AO62</f>
        <v>0</v>
      </c>
      <c r="BI62" s="16">
        <f>J62*AP62</f>
        <v>0</v>
      </c>
      <c r="BJ62" s="16">
        <f>J62*K62</f>
        <v>0</v>
      </c>
    </row>
    <row r="63" spans="1:62" ht="12.75">
      <c r="A63" s="4" t="s">
        <v>49</v>
      </c>
      <c r="B63" s="4" t="s">
        <v>117</v>
      </c>
      <c r="C63" s="98" t="s">
        <v>192</v>
      </c>
      <c r="D63" s="99"/>
      <c r="E63" s="99"/>
      <c r="F63" s="99"/>
      <c r="G63" s="99"/>
      <c r="H63" s="99"/>
      <c r="I63" s="4" t="s">
        <v>227</v>
      </c>
      <c r="J63" s="16">
        <v>1.6965</v>
      </c>
      <c r="K63" s="16">
        <v>0</v>
      </c>
      <c r="L63" s="16">
        <f>J63*K63</f>
        <v>0</v>
      </c>
      <c r="Z63" s="26">
        <f>IF(AQ63="5",BJ63,0)</f>
        <v>0</v>
      </c>
      <c r="AB63" s="26">
        <f>IF(AQ63="1",BH63,0)</f>
        <v>0</v>
      </c>
      <c r="AC63" s="26">
        <f>IF(AQ63="1",BI63,0)</f>
        <v>0</v>
      </c>
      <c r="AD63" s="26">
        <f>IF(AQ63="7",BH63,0)</f>
        <v>0</v>
      </c>
      <c r="AE63" s="26">
        <f>IF(AQ63="7",BI63,0)</f>
        <v>0</v>
      </c>
      <c r="AF63" s="26">
        <f>IF(AQ63="2",BH63,0)</f>
        <v>0</v>
      </c>
      <c r="AG63" s="26">
        <f>IF(AQ63="2",BI63,0)</f>
        <v>0</v>
      </c>
      <c r="AH63" s="26">
        <f>IF(AQ63="0",BJ63,0)</f>
        <v>0</v>
      </c>
      <c r="AI63" s="25"/>
      <c r="AJ63" s="16">
        <f>IF(AN63=0,L63,0)</f>
        <v>0</v>
      </c>
      <c r="AK63" s="16">
        <f>IF(AN63=15,L63,0)</f>
        <v>0</v>
      </c>
      <c r="AL63" s="16">
        <f>IF(AN63=21,L63,0)</f>
        <v>0</v>
      </c>
      <c r="AN63" s="26">
        <v>21</v>
      </c>
      <c r="AO63" s="26">
        <f>K63*0.276345795842383</f>
        <v>0</v>
      </c>
      <c r="AP63" s="26">
        <f>K63*(1-0.276345795842383)</f>
        <v>0</v>
      </c>
      <c r="AQ63" s="27" t="s">
        <v>13</v>
      </c>
      <c r="AV63" s="26">
        <f>AW63+AX63</f>
        <v>0</v>
      </c>
      <c r="AW63" s="26">
        <f>J63*AO63</f>
        <v>0</v>
      </c>
      <c r="AX63" s="26">
        <f>J63*AP63</f>
        <v>0</v>
      </c>
      <c r="AY63" s="29" t="s">
        <v>258</v>
      </c>
      <c r="AZ63" s="29" t="s">
        <v>270</v>
      </c>
      <c r="BA63" s="25" t="s">
        <v>272</v>
      </c>
      <c r="BC63" s="26">
        <f>AW63+AX63</f>
        <v>0</v>
      </c>
      <c r="BD63" s="26">
        <f>K63/(100-BE63)*100</f>
        <v>0</v>
      </c>
      <c r="BE63" s="26">
        <v>0</v>
      </c>
      <c r="BF63" s="26">
        <f>63</f>
        <v>63</v>
      </c>
      <c r="BH63" s="16">
        <f>J63*AO63</f>
        <v>0</v>
      </c>
      <c r="BI63" s="16">
        <f>J63*AP63</f>
        <v>0</v>
      </c>
      <c r="BJ63" s="16">
        <f>J63*K63</f>
        <v>0</v>
      </c>
    </row>
    <row r="64" spans="1:62" ht="12.75">
      <c r="A64" s="4" t="s">
        <v>50</v>
      </c>
      <c r="B64" s="4" t="s">
        <v>118</v>
      </c>
      <c r="C64" s="98" t="s">
        <v>193</v>
      </c>
      <c r="D64" s="99"/>
      <c r="E64" s="99"/>
      <c r="F64" s="99"/>
      <c r="G64" s="99"/>
      <c r="H64" s="99"/>
      <c r="I64" s="4" t="s">
        <v>227</v>
      </c>
      <c r="J64" s="16">
        <v>7.09</v>
      </c>
      <c r="K64" s="16">
        <v>0</v>
      </c>
      <c r="L64" s="16">
        <f>J64*K64</f>
        <v>0</v>
      </c>
      <c r="Z64" s="26">
        <f>IF(AQ64="5",BJ64,0)</f>
        <v>0</v>
      </c>
      <c r="AB64" s="26">
        <f>IF(AQ64="1",BH64,0)</f>
        <v>0</v>
      </c>
      <c r="AC64" s="26">
        <f>IF(AQ64="1",BI64,0)</f>
        <v>0</v>
      </c>
      <c r="AD64" s="26">
        <f>IF(AQ64="7",BH64,0)</f>
        <v>0</v>
      </c>
      <c r="AE64" s="26">
        <f>IF(AQ64="7",BI64,0)</f>
        <v>0</v>
      </c>
      <c r="AF64" s="26">
        <f>IF(AQ64="2",BH64,0)</f>
        <v>0</v>
      </c>
      <c r="AG64" s="26">
        <f>IF(AQ64="2",BI64,0)</f>
        <v>0</v>
      </c>
      <c r="AH64" s="26">
        <f>IF(AQ64="0",BJ64,0)</f>
        <v>0</v>
      </c>
      <c r="AI64" s="25"/>
      <c r="AJ64" s="16">
        <f>IF(AN64=0,L64,0)</f>
        <v>0</v>
      </c>
      <c r="AK64" s="16">
        <f>IF(AN64=15,L64,0)</f>
        <v>0</v>
      </c>
      <c r="AL64" s="16">
        <f>IF(AN64=21,L64,0)</f>
        <v>0</v>
      </c>
      <c r="AN64" s="26">
        <v>21</v>
      </c>
      <c r="AO64" s="26">
        <f>K64*0.592372652951217</f>
        <v>0</v>
      </c>
      <c r="AP64" s="26">
        <f>K64*(1-0.592372652951217)</f>
        <v>0</v>
      </c>
      <c r="AQ64" s="27" t="s">
        <v>13</v>
      </c>
      <c r="AV64" s="26">
        <f>AW64+AX64</f>
        <v>0</v>
      </c>
      <c r="AW64" s="26">
        <f>J64*AO64</f>
        <v>0</v>
      </c>
      <c r="AX64" s="26">
        <f>J64*AP64</f>
        <v>0</v>
      </c>
      <c r="AY64" s="29" t="s">
        <v>258</v>
      </c>
      <c r="AZ64" s="29" t="s">
        <v>270</v>
      </c>
      <c r="BA64" s="25" t="s">
        <v>272</v>
      </c>
      <c r="BC64" s="26">
        <f>AW64+AX64</f>
        <v>0</v>
      </c>
      <c r="BD64" s="26">
        <f>K64/(100-BE64)*100</f>
        <v>0</v>
      </c>
      <c r="BE64" s="26">
        <v>0</v>
      </c>
      <c r="BF64" s="26">
        <f>64</f>
        <v>64</v>
      </c>
      <c r="BH64" s="16">
        <f>J64*AO64</f>
        <v>0</v>
      </c>
      <c r="BI64" s="16">
        <f>J64*AP64</f>
        <v>0</v>
      </c>
      <c r="BJ64" s="16">
        <f>J64*K64</f>
        <v>0</v>
      </c>
    </row>
    <row r="65" spans="1:62" ht="12.75">
      <c r="A65" s="4" t="s">
        <v>51</v>
      </c>
      <c r="B65" s="4" t="s">
        <v>119</v>
      </c>
      <c r="C65" s="98" t="s">
        <v>194</v>
      </c>
      <c r="D65" s="99"/>
      <c r="E65" s="99"/>
      <c r="F65" s="99"/>
      <c r="G65" s="99"/>
      <c r="H65" s="99"/>
      <c r="I65" s="4" t="s">
        <v>227</v>
      </c>
      <c r="J65" s="16">
        <v>26.5446</v>
      </c>
      <c r="K65" s="16">
        <v>0</v>
      </c>
      <c r="L65" s="16">
        <f>J65*K65</f>
        <v>0</v>
      </c>
      <c r="Z65" s="26">
        <f>IF(AQ65="5",BJ65,0)</f>
        <v>0</v>
      </c>
      <c r="AB65" s="26">
        <f>IF(AQ65="1",BH65,0)</f>
        <v>0</v>
      </c>
      <c r="AC65" s="26">
        <f>IF(AQ65="1",BI65,0)</f>
        <v>0</v>
      </c>
      <c r="AD65" s="26">
        <f>IF(AQ65="7",BH65,0)</f>
        <v>0</v>
      </c>
      <c r="AE65" s="26">
        <f>IF(AQ65="7",BI65,0)</f>
        <v>0</v>
      </c>
      <c r="AF65" s="26">
        <f>IF(AQ65="2",BH65,0)</f>
        <v>0</v>
      </c>
      <c r="AG65" s="26">
        <f>IF(AQ65="2",BI65,0)</f>
        <v>0</v>
      </c>
      <c r="AH65" s="26">
        <f>IF(AQ65="0",BJ65,0)</f>
        <v>0</v>
      </c>
      <c r="AI65" s="25"/>
      <c r="AJ65" s="16">
        <f>IF(AN65=0,L65,0)</f>
        <v>0</v>
      </c>
      <c r="AK65" s="16">
        <f>IF(AN65=15,L65,0)</f>
        <v>0</v>
      </c>
      <c r="AL65" s="16">
        <f>IF(AN65=21,L65,0)</f>
        <v>0</v>
      </c>
      <c r="AN65" s="26">
        <v>21</v>
      </c>
      <c r="AO65" s="26">
        <f>K65*0.201966405244059</f>
        <v>0</v>
      </c>
      <c r="AP65" s="26">
        <f>K65*(1-0.201966405244059)</f>
        <v>0</v>
      </c>
      <c r="AQ65" s="27" t="s">
        <v>13</v>
      </c>
      <c r="AV65" s="26">
        <f>AW65+AX65</f>
        <v>0</v>
      </c>
      <c r="AW65" s="26">
        <f>J65*AO65</f>
        <v>0</v>
      </c>
      <c r="AX65" s="26">
        <f>J65*AP65</f>
        <v>0</v>
      </c>
      <c r="AY65" s="29" t="s">
        <v>258</v>
      </c>
      <c r="AZ65" s="29" t="s">
        <v>270</v>
      </c>
      <c r="BA65" s="25" t="s">
        <v>272</v>
      </c>
      <c r="BC65" s="26">
        <f>AW65+AX65</f>
        <v>0</v>
      </c>
      <c r="BD65" s="26">
        <f>K65/(100-BE65)*100</f>
        <v>0</v>
      </c>
      <c r="BE65" s="26">
        <v>0</v>
      </c>
      <c r="BF65" s="26">
        <f>65</f>
        <v>65</v>
      </c>
      <c r="BH65" s="16">
        <f>J65*AO65</f>
        <v>0</v>
      </c>
      <c r="BI65" s="16">
        <f>J65*AP65</f>
        <v>0</v>
      </c>
      <c r="BJ65" s="16">
        <f>J65*K65</f>
        <v>0</v>
      </c>
    </row>
    <row r="66" spans="1:62" ht="12.75">
      <c r="A66" s="4" t="s">
        <v>52</v>
      </c>
      <c r="B66" s="4" t="s">
        <v>120</v>
      </c>
      <c r="C66" s="98" t="s">
        <v>195</v>
      </c>
      <c r="D66" s="99"/>
      <c r="E66" s="99"/>
      <c r="F66" s="99"/>
      <c r="G66" s="99"/>
      <c r="H66" s="99"/>
      <c r="I66" s="4" t="s">
        <v>227</v>
      </c>
      <c r="J66" s="16">
        <v>26.5446</v>
      </c>
      <c r="K66" s="16">
        <v>0</v>
      </c>
      <c r="L66" s="16">
        <f>J66*K66</f>
        <v>0</v>
      </c>
      <c r="Z66" s="26">
        <f>IF(AQ66="5",BJ66,0)</f>
        <v>0</v>
      </c>
      <c r="AB66" s="26">
        <f>IF(AQ66="1",BH66,0)</f>
        <v>0</v>
      </c>
      <c r="AC66" s="26">
        <f>IF(AQ66="1",BI66,0)</f>
        <v>0</v>
      </c>
      <c r="AD66" s="26">
        <f>IF(AQ66="7",BH66,0)</f>
        <v>0</v>
      </c>
      <c r="AE66" s="26">
        <f>IF(AQ66="7",BI66,0)</f>
        <v>0</v>
      </c>
      <c r="AF66" s="26">
        <f>IF(AQ66="2",BH66,0)</f>
        <v>0</v>
      </c>
      <c r="AG66" s="26">
        <f>IF(AQ66="2",BI66,0)</f>
        <v>0</v>
      </c>
      <c r="AH66" s="26">
        <f>IF(AQ66="0",BJ66,0)</f>
        <v>0</v>
      </c>
      <c r="AI66" s="25"/>
      <c r="AJ66" s="16">
        <f>IF(AN66=0,L66,0)</f>
        <v>0</v>
      </c>
      <c r="AK66" s="16">
        <f>IF(AN66=15,L66,0)</f>
        <v>0</v>
      </c>
      <c r="AL66" s="16">
        <f>IF(AN66=21,L66,0)</f>
        <v>0</v>
      </c>
      <c r="AN66" s="26">
        <v>21</v>
      </c>
      <c r="AO66" s="26">
        <f>K66*0.0887174497072911</f>
        <v>0</v>
      </c>
      <c r="AP66" s="26">
        <f>K66*(1-0.0887174497072911)</f>
        <v>0</v>
      </c>
      <c r="AQ66" s="27" t="s">
        <v>13</v>
      </c>
      <c r="AV66" s="26">
        <f>AW66+AX66</f>
        <v>0</v>
      </c>
      <c r="AW66" s="26">
        <f>J66*AO66</f>
        <v>0</v>
      </c>
      <c r="AX66" s="26">
        <f>J66*AP66</f>
        <v>0</v>
      </c>
      <c r="AY66" s="29" t="s">
        <v>258</v>
      </c>
      <c r="AZ66" s="29" t="s">
        <v>270</v>
      </c>
      <c r="BA66" s="25" t="s">
        <v>272</v>
      </c>
      <c r="BC66" s="26">
        <f>AW66+AX66</f>
        <v>0</v>
      </c>
      <c r="BD66" s="26">
        <f>K66/(100-BE66)*100</f>
        <v>0</v>
      </c>
      <c r="BE66" s="26">
        <v>0</v>
      </c>
      <c r="BF66" s="26">
        <f>66</f>
        <v>66</v>
      </c>
      <c r="BH66" s="16">
        <f>J66*AO66</f>
        <v>0</v>
      </c>
      <c r="BI66" s="16">
        <f>J66*AP66</f>
        <v>0</v>
      </c>
      <c r="BJ66" s="16">
        <f>J66*K66</f>
        <v>0</v>
      </c>
    </row>
    <row r="67" spans="1:47" ht="12.75">
      <c r="A67" s="5"/>
      <c r="B67" s="13" t="s">
        <v>121</v>
      </c>
      <c r="C67" s="100" t="s">
        <v>196</v>
      </c>
      <c r="D67" s="101"/>
      <c r="E67" s="101"/>
      <c r="F67" s="101"/>
      <c r="G67" s="101"/>
      <c r="H67" s="101"/>
      <c r="I67" s="5" t="s">
        <v>6</v>
      </c>
      <c r="J67" s="5" t="s">
        <v>6</v>
      </c>
      <c r="K67" s="5" t="s">
        <v>6</v>
      </c>
      <c r="L67" s="31">
        <f>SUM(L68:L68)</f>
        <v>0</v>
      </c>
      <c r="AI67" s="25"/>
      <c r="AS67" s="31">
        <f>SUM(AJ68:AJ68)</f>
        <v>0</v>
      </c>
      <c r="AT67" s="31">
        <f>SUM(AK68:AK68)</f>
        <v>0</v>
      </c>
      <c r="AU67" s="31">
        <f>SUM(AL68:AL68)</f>
        <v>0</v>
      </c>
    </row>
    <row r="68" spans="1:62" ht="12.75">
      <c r="A68" s="4" t="s">
        <v>53</v>
      </c>
      <c r="B68" s="4" t="s">
        <v>122</v>
      </c>
      <c r="C68" s="98" t="s">
        <v>197</v>
      </c>
      <c r="D68" s="99"/>
      <c r="E68" s="99"/>
      <c r="F68" s="99"/>
      <c r="G68" s="99"/>
      <c r="H68" s="99"/>
      <c r="I68" s="4" t="s">
        <v>227</v>
      </c>
      <c r="J68" s="16">
        <v>7.09</v>
      </c>
      <c r="K68" s="16">
        <v>0</v>
      </c>
      <c r="L68" s="16">
        <f>J68*K68</f>
        <v>0</v>
      </c>
      <c r="Z68" s="26">
        <f>IF(AQ68="5",BJ68,0)</f>
        <v>0</v>
      </c>
      <c r="AB68" s="26">
        <f>IF(AQ68="1",BH68,0)</f>
        <v>0</v>
      </c>
      <c r="AC68" s="26">
        <f>IF(AQ68="1",BI68,0)</f>
        <v>0</v>
      </c>
      <c r="AD68" s="26">
        <f>IF(AQ68="7",BH68,0)</f>
        <v>0</v>
      </c>
      <c r="AE68" s="26">
        <f>IF(AQ68="7",BI68,0)</f>
        <v>0</v>
      </c>
      <c r="AF68" s="26">
        <f>IF(AQ68="2",BH68,0)</f>
        <v>0</v>
      </c>
      <c r="AG68" s="26">
        <f>IF(AQ68="2",BI68,0)</f>
        <v>0</v>
      </c>
      <c r="AH68" s="26">
        <f>IF(AQ68="0",BJ68,0)</f>
        <v>0</v>
      </c>
      <c r="AI68" s="25"/>
      <c r="AJ68" s="16">
        <f>IF(AN68=0,L68,0)</f>
        <v>0</v>
      </c>
      <c r="AK68" s="16">
        <f>IF(AN68=15,L68,0)</f>
        <v>0</v>
      </c>
      <c r="AL68" s="16">
        <f>IF(AN68=21,L68,0)</f>
        <v>0</v>
      </c>
      <c r="AN68" s="26">
        <v>21</v>
      </c>
      <c r="AO68" s="26">
        <f>K68*0.0123808767859323</f>
        <v>0</v>
      </c>
      <c r="AP68" s="26">
        <f>K68*(1-0.0123808767859323)</f>
        <v>0</v>
      </c>
      <c r="AQ68" s="27" t="s">
        <v>7</v>
      </c>
      <c r="AV68" s="26">
        <f>AW68+AX68</f>
        <v>0</v>
      </c>
      <c r="AW68" s="26">
        <f>J68*AO68</f>
        <v>0</v>
      </c>
      <c r="AX68" s="26">
        <f>J68*AP68</f>
        <v>0</v>
      </c>
      <c r="AY68" s="29" t="s">
        <v>259</v>
      </c>
      <c r="AZ68" s="29" t="s">
        <v>271</v>
      </c>
      <c r="BA68" s="25" t="s">
        <v>272</v>
      </c>
      <c r="BC68" s="26">
        <f>AW68+AX68</f>
        <v>0</v>
      </c>
      <c r="BD68" s="26">
        <f>K68/(100-BE68)*100</f>
        <v>0</v>
      </c>
      <c r="BE68" s="26">
        <v>0</v>
      </c>
      <c r="BF68" s="26">
        <f>68</f>
        <v>68</v>
      </c>
      <c r="BH68" s="16">
        <f>J68*AO68</f>
        <v>0</v>
      </c>
      <c r="BI68" s="16">
        <f>J68*AP68</f>
        <v>0</v>
      </c>
      <c r="BJ68" s="16">
        <f>J68*K68</f>
        <v>0</v>
      </c>
    </row>
    <row r="69" spans="1:47" ht="12.75">
      <c r="A69" s="5"/>
      <c r="B69" s="13" t="s">
        <v>123</v>
      </c>
      <c r="C69" s="100" t="s">
        <v>198</v>
      </c>
      <c r="D69" s="101"/>
      <c r="E69" s="101"/>
      <c r="F69" s="101"/>
      <c r="G69" s="101"/>
      <c r="H69" s="101"/>
      <c r="I69" s="5" t="s">
        <v>6</v>
      </c>
      <c r="J69" s="5" t="s">
        <v>6</v>
      </c>
      <c r="K69" s="5" t="s">
        <v>6</v>
      </c>
      <c r="L69" s="31">
        <f>SUM(L70:L71)</f>
        <v>0</v>
      </c>
      <c r="AI69" s="25"/>
      <c r="AS69" s="31">
        <f>SUM(AJ70:AJ71)</f>
        <v>0</v>
      </c>
      <c r="AT69" s="31">
        <f>SUM(AK70:AK71)</f>
        <v>0</v>
      </c>
      <c r="AU69" s="31">
        <f>SUM(AL70:AL71)</f>
        <v>0</v>
      </c>
    </row>
    <row r="70" spans="1:62" ht="12.75">
      <c r="A70" s="4" t="s">
        <v>54</v>
      </c>
      <c r="B70" s="4" t="s">
        <v>124</v>
      </c>
      <c r="C70" s="98" t="s">
        <v>199</v>
      </c>
      <c r="D70" s="99"/>
      <c r="E70" s="99"/>
      <c r="F70" s="99"/>
      <c r="G70" s="99"/>
      <c r="H70" s="99"/>
      <c r="I70" s="4" t="s">
        <v>227</v>
      </c>
      <c r="J70" s="16">
        <v>7.5746</v>
      </c>
      <c r="K70" s="16">
        <v>0</v>
      </c>
      <c r="L70" s="16">
        <f>J70*K70</f>
        <v>0</v>
      </c>
      <c r="Z70" s="26">
        <f>IF(AQ70="5",BJ70,0)</f>
        <v>0</v>
      </c>
      <c r="AB70" s="26">
        <f>IF(AQ70="1",BH70,0)</f>
        <v>0</v>
      </c>
      <c r="AC70" s="26">
        <f>IF(AQ70="1",BI70,0)</f>
        <v>0</v>
      </c>
      <c r="AD70" s="26">
        <f>IF(AQ70="7",BH70,0)</f>
        <v>0</v>
      </c>
      <c r="AE70" s="26">
        <f>IF(AQ70="7",BI70,0)</f>
        <v>0</v>
      </c>
      <c r="AF70" s="26">
        <f>IF(AQ70="2",BH70,0)</f>
        <v>0</v>
      </c>
      <c r="AG70" s="26">
        <f>IF(AQ70="2",BI70,0)</f>
        <v>0</v>
      </c>
      <c r="AH70" s="26">
        <f>IF(AQ70="0",BJ70,0)</f>
        <v>0</v>
      </c>
      <c r="AI70" s="25"/>
      <c r="AJ70" s="16">
        <f>IF(AN70=0,L70,0)</f>
        <v>0</v>
      </c>
      <c r="AK70" s="16">
        <f>IF(AN70=15,L70,0)</f>
        <v>0</v>
      </c>
      <c r="AL70" s="16">
        <f>IF(AN70=21,L70,0)</f>
        <v>0</v>
      </c>
      <c r="AN70" s="26">
        <v>21</v>
      </c>
      <c r="AO70" s="26">
        <f>K70*0</f>
        <v>0</v>
      </c>
      <c r="AP70" s="26">
        <f>K70*(1-0)</f>
        <v>0</v>
      </c>
      <c r="AQ70" s="27" t="s">
        <v>7</v>
      </c>
      <c r="AV70" s="26">
        <f>AW70+AX70</f>
        <v>0</v>
      </c>
      <c r="AW70" s="26">
        <f>J70*AO70</f>
        <v>0</v>
      </c>
      <c r="AX70" s="26">
        <f>J70*AP70</f>
        <v>0</v>
      </c>
      <c r="AY70" s="29" t="s">
        <v>260</v>
      </c>
      <c r="AZ70" s="29" t="s">
        <v>271</v>
      </c>
      <c r="BA70" s="25" t="s">
        <v>272</v>
      </c>
      <c r="BC70" s="26">
        <f>AW70+AX70</f>
        <v>0</v>
      </c>
      <c r="BD70" s="26">
        <f>K70/(100-BE70)*100</f>
        <v>0</v>
      </c>
      <c r="BE70" s="26">
        <v>0</v>
      </c>
      <c r="BF70" s="26">
        <f>70</f>
        <v>70</v>
      </c>
      <c r="BH70" s="16">
        <f>J70*AO70</f>
        <v>0</v>
      </c>
      <c r="BI70" s="16">
        <f>J70*AP70</f>
        <v>0</v>
      </c>
      <c r="BJ70" s="16">
        <f>J70*K70</f>
        <v>0</v>
      </c>
    </row>
    <row r="71" spans="1:62" ht="12.75">
      <c r="A71" s="4" t="s">
        <v>55</v>
      </c>
      <c r="B71" s="4" t="s">
        <v>125</v>
      </c>
      <c r="C71" s="98" t="s">
        <v>200</v>
      </c>
      <c r="D71" s="99"/>
      <c r="E71" s="99"/>
      <c r="F71" s="99"/>
      <c r="G71" s="99"/>
      <c r="H71" s="99"/>
      <c r="I71" s="4" t="s">
        <v>234</v>
      </c>
      <c r="J71" s="16">
        <v>0.3545</v>
      </c>
      <c r="K71" s="16">
        <v>0</v>
      </c>
      <c r="L71" s="16">
        <f>J71*K71</f>
        <v>0</v>
      </c>
      <c r="Z71" s="26">
        <f>IF(AQ71="5",BJ71,0)</f>
        <v>0</v>
      </c>
      <c r="AB71" s="26">
        <f>IF(AQ71="1",BH71,0)</f>
        <v>0</v>
      </c>
      <c r="AC71" s="26">
        <f>IF(AQ71="1",BI71,0)</f>
        <v>0</v>
      </c>
      <c r="AD71" s="26">
        <f>IF(AQ71="7",BH71,0)</f>
        <v>0</v>
      </c>
      <c r="AE71" s="26">
        <f>IF(AQ71="7",BI71,0)</f>
        <v>0</v>
      </c>
      <c r="AF71" s="26">
        <f>IF(AQ71="2",BH71,0)</f>
        <v>0</v>
      </c>
      <c r="AG71" s="26">
        <f>IF(AQ71="2",BI71,0)</f>
        <v>0</v>
      </c>
      <c r="AH71" s="26">
        <f>IF(AQ71="0",BJ71,0)</f>
        <v>0</v>
      </c>
      <c r="AI71" s="25"/>
      <c r="AJ71" s="16">
        <f>IF(AN71=0,L71,0)</f>
        <v>0</v>
      </c>
      <c r="AK71" s="16">
        <f>IF(AN71=15,L71,0)</f>
        <v>0</v>
      </c>
      <c r="AL71" s="16">
        <f>IF(AN71=21,L71,0)</f>
        <v>0</v>
      </c>
      <c r="AN71" s="26">
        <v>21</v>
      </c>
      <c r="AO71" s="26">
        <f>K71*0</f>
        <v>0</v>
      </c>
      <c r="AP71" s="26">
        <f>K71*(1-0)</f>
        <v>0</v>
      </c>
      <c r="AQ71" s="27" t="s">
        <v>7</v>
      </c>
      <c r="AV71" s="26">
        <f>AW71+AX71</f>
        <v>0</v>
      </c>
      <c r="AW71" s="26">
        <f>J71*AO71</f>
        <v>0</v>
      </c>
      <c r="AX71" s="26">
        <f>J71*AP71</f>
        <v>0</v>
      </c>
      <c r="AY71" s="29" t="s">
        <v>260</v>
      </c>
      <c r="AZ71" s="29" t="s">
        <v>271</v>
      </c>
      <c r="BA71" s="25" t="s">
        <v>272</v>
      </c>
      <c r="BC71" s="26">
        <f>AW71+AX71</f>
        <v>0</v>
      </c>
      <c r="BD71" s="26">
        <f>K71/(100-BE71)*100</f>
        <v>0</v>
      </c>
      <c r="BE71" s="26">
        <v>0</v>
      </c>
      <c r="BF71" s="26">
        <f>71</f>
        <v>71</v>
      </c>
      <c r="BH71" s="16">
        <f>J71*AO71</f>
        <v>0</v>
      </c>
      <c r="BI71" s="16">
        <f>J71*AP71</f>
        <v>0</v>
      </c>
      <c r="BJ71" s="16">
        <f>J71*K71</f>
        <v>0</v>
      </c>
    </row>
    <row r="72" spans="1:47" ht="12.75">
      <c r="A72" s="5"/>
      <c r="B72" s="13" t="s">
        <v>126</v>
      </c>
      <c r="C72" s="100" t="s">
        <v>201</v>
      </c>
      <c r="D72" s="101"/>
      <c r="E72" s="101"/>
      <c r="F72" s="101"/>
      <c r="G72" s="101"/>
      <c r="H72" s="101"/>
      <c r="I72" s="5" t="s">
        <v>6</v>
      </c>
      <c r="J72" s="5" t="s">
        <v>6</v>
      </c>
      <c r="K72" s="5" t="s">
        <v>6</v>
      </c>
      <c r="L72" s="31">
        <f>SUM(L73:L73)</f>
        <v>0</v>
      </c>
      <c r="AI72" s="25"/>
      <c r="AS72" s="31">
        <f>SUM(AJ73:AJ73)</f>
        <v>0</v>
      </c>
      <c r="AT72" s="31">
        <f>SUM(AK73:AK73)</f>
        <v>0</v>
      </c>
      <c r="AU72" s="31">
        <f>SUM(AL73:AL73)</f>
        <v>0</v>
      </c>
    </row>
    <row r="73" spans="1:62" ht="12.75">
      <c r="A73" s="4" t="s">
        <v>56</v>
      </c>
      <c r="B73" s="4" t="s">
        <v>127</v>
      </c>
      <c r="C73" s="98" t="s">
        <v>202</v>
      </c>
      <c r="D73" s="99"/>
      <c r="E73" s="99"/>
      <c r="F73" s="99"/>
      <c r="G73" s="99"/>
      <c r="H73" s="99"/>
      <c r="I73" s="4" t="s">
        <v>227</v>
      </c>
      <c r="J73" s="16">
        <v>16.4481</v>
      </c>
      <c r="K73" s="16">
        <v>0</v>
      </c>
      <c r="L73" s="16">
        <f>J73*K73</f>
        <v>0</v>
      </c>
      <c r="Z73" s="26">
        <f>IF(AQ73="5",BJ73,0)</f>
        <v>0</v>
      </c>
      <c r="AB73" s="26">
        <f>IF(AQ73="1",BH73,0)</f>
        <v>0</v>
      </c>
      <c r="AC73" s="26">
        <f>IF(AQ73="1",BI73,0)</f>
        <v>0</v>
      </c>
      <c r="AD73" s="26">
        <f>IF(AQ73="7",BH73,0)</f>
        <v>0</v>
      </c>
      <c r="AE73" s="26">
        <f>IF(AQ73="7",BI73,0)</f>
        <v>0</v>
      </c>
      <c r="AF73" s="26">
        <f>IF(AQ73="2",BH73,0)</f>
        <v>0</v>
      </c>
      <c r="AG73" s="26">
        <f>IF(AQ73="2",BI73,0)</f>
        <v>0</v>
      </c>
      <c r="AH73" s="26">
        <f>IF(AQ73="0",BJ73,0)</f>
        <v>0</v>
      </c>
      <c r="AI73" s="25"/>
      <c r="AJ73" s="16">
        <f>IF(AN73=0,L73,0)</f>
        <v>0</v>
      </c>
      <c r="AK73" s="16">
        <f>IF(AN73=15,L73,0)</f>
        <v>0</v>
      </c>
      <c r="AL73" s="16">
        <f>IF(AN73=21,L73,0)</f>
        <v>0</v>
      </c>
      <c r="AN73" s="26">
        <v>21</v>
      </c>
      <c r="AO73" s="26">
        <f>K73*0</f>
        <v>0</v>
      </c>
      <c r="AP73" s="26">
        <f>K73*(1-0)</f>
        <v>0</v>
      </c>
      <c r="AQ73" s="27" t="s">
        <v>7</v>
      </c>
      <c r="AV73" s="26">
        <f>AW73+AX73</f>
        <v>0</v>
      </c>
      <c r="AW73" s="26">
        <f>J73*AO73</f>
        <v>0</v>
      </c>
      <c r="AX73" s="26">
        <f>J73*AP73</f>
        <v>0</v>
      </c>
      <c r="AY73" s="29" t="s">
        <v>261</v>
      </c>
      <c r="AZ73" s="29" t="s">
        <v>271</v>
      </c>
      <c r="BA73" s="25" t="s">
        <v>272</v>
      </c>
      <c r="BC73" s="26">
        <f>AW73+AX73</f>
        <v>0</v>
      </c>
      <c r="BD73" s="26">
        <f>K73/(100-BE73)*100</f>
        <v>0</v>
      </c>
      <c r="BE73" s="26">
        <v>0</v>
      </c>
      <c r="BF73" s="26">
        <f>73</f>
        <v>73</v>
      </c>
      <c r="BH73" s="16">
        <f>J73*AO73</f>
        <v>0</v>
      </c>
      <c r="BI73" s="16">
        <f>J73*AP73</f>
        <v>0</v>
      </c>
      <c r="BJ73" s="16">
        <f>J73*K73</f>
        <v>0</v>
      </c>
    </row>
    <row r="74" spans="1:47" ht="12.75">
      <c r="A74" s="5"/>
      <c r="B74" s="13" t="s">
        <v>128</v>
      </c>
      <c r="C74" s="100" t="s">
        <v>203</v>
      </c>
      <c r="D74" s="101"/>
      <c r="E74" s="101"/>
      <c r="F74" s="101"/>
      <c r="G74" s="101"/>
      <c r="H74" s="101"/>
      <c r="I74" s="5" t="s">
        <v>6</v>
      </c>
      <c r="J74" s="5" t="s">
        <v>6</v>
      </c>
      <c r="K74" s="5" t="s">
        <v>6</v>
      </c>
      <c r="L74" s="31">
        <f>SUM(L75:L75)</f>
        <v>0</v>
      </c>
      <c r="AI74" s="25"/>
      <c r="AS74" s="31">
        <f>SUM(AJ75:AJ75)</f>
        <v>0</v>
      </c>
      <c r="AT74" s="31">
        <f>SUM(AK75:AK75)</f>
        <v>0</v>
      </c>
      <c r="AU74" s="31">
        <f>SUM(AL75:AL75)</f>
        <v>0</v>
      </c>
    </row>
    <row r="75" spans="1:62" ht="12.75">
      <c r="A75" s="4" t="s">
        <v>57</v>
      </c>
      <c r="B75" s="4" t="s">
        <v>129</v>
      </c>
      <c r="C75" s="98" t="s">
        <v>204</v>
      </c>
      <c r="D75" s="99"/>
      <c r="E75" s="99"/>
      <c r="F75" s="99"/>
      <c r="G75" s="99"/>
      <c r="H75" s="99"/>
      <c r="I75" s="4" t="s">
        <v>235</v>
      </c>
      <c r="J75" s="16">
        <v>1.0203</v>
      </c>
      <c r="K75" s="16">
        <v>0</v>
      </c>
      <c r="L75" s="16">
        <f>J75*K75</f>
        <v>0</v>
      </c>
      <c r="Z75" s="26">
        <f>IF(AQ75="5",BJ75,0)</f>
        <v>0</v>
      </c>
      <c r="AB75" s="26">
        <f>IF(AQ75="1",BH75,0)</f>
        <v>0</v>
      </c>
      <c r="AC75" s="26">
        <f>IF(AQ75="1",BI75,0)</f>
        <v>0</v>
      </c>
      <c r="AD75" s="26">
        <f>IF(AQ75="7",BH75,0)</f>
        <v>0</v>
      </c>
      <c r="AE75" s="26">
        <f>IF(AQ75="7",BI75,0)</f>
        <v>0</v>
      </c>
      <c r="AF75" s="26">
        <f>IF(AQ75="2",BH75,0)</f>
        <v>0</v>
      </c>
      <c r="AG75" s="26">
        <f>IF(AQ75="2",BI75,0)</f>
        <v>0</v>
      </c>
      <c r="AH75" s="26">
        <f>IF(AQ75="0",BJ75,0)</f>
        <v>0</v>
      </c>
      <c r="AI75" s="25"/>
      <c r="AJ75" s="16">
        <f>IF(AN75=0,L75,0)</f>
        <v>0</v>
      </c>
      <c r="AK75" s="16">
        <f>IF(AN75=15,L75,0)</f>
        <v>0</v>
      </c>
      <c r="AL75" s="16">
        <f>IF(AN75=21,L75,0)</f>
        <v>0</v>
      </c>
      <c r="AN75" s="26">
        <v>21</v>
      </c>
      <c r="AO75" s="26">
        <f>K75*0</f>
        <v>0</v>
      </c>
      <c r="AP75" s="26">
        <f>K75*(1-0)</f>
        <v>0</v>
      </c>
      <c r="AQ75" s="27" t="s">
        <v>11</v>
      </c>
      <c r="AV75" s="26">
        <f>AW75+AX75</f>
        <v>0</v>
      </c>
      <c r="AW75" s="26">
        <f>J75*AO75</f>
        <v>0</v>
      </c>
      <c r="AX75" s="26">
        <f>J75*AP75</f>
        <v>0</v>
      </c>
      <c r="AY75" s="29" t="s">
        <v>262</v>
      </c>
      <c r="AZ75" s="29" t="s">
        <v>271</v>
      </c>
      <c r="BA75" s="25" t="s">
        <v>272</v>
      </c>
      <c r="BC75" s="26">
        <f>AW75+AX75</f>
        <v>0</v>
      </c>
      <c r="BD75" s="26">
        <f>K75/(100-BE75)*100</f>
        <v>0</v>
      </c>
      <c r="BE75" s="26">
        <v>0</v>
      </c>
      <c r="BF75" s="26">
        <f>75</f>
        <v>75</v>
      </c>
      <c r="BH75" s="16">
        <f>J75*AO75</f>
        <v>0</v>
      </c>
      <c r="BI75" s="16">
        <f>J75*AP75</f>
        <v>0</v>
      </c>
      <c r="BJ75" s="16">
        <f>J75*K75</f>
        <v>0</v>
      </c>
    </row>
    <row r="76" spans="1:47" ht="12.75">
      <c r="A76" s="5"/>
      <c r="B76" s="13" t="s">
        <v>130</v>
      </c>
      <c r="C76" s="100" t="s">
        <v>205</v>
      </c>
      <c r="D76" s="101"/>
      <c r="E76" s="101"/>
      <c r="F76" s="101"/>
      <c r="G76" s="101"/>
      <c r="H76" s="101"/>
      <c r="I76" s="5" t="s">
        <v>6</v>
      </c>
      <c r="J76" s="5" t="s">
        <v>6</v>
      </c>
      <c r="K76" s="5" t="s">
        <v>6</v>
      </c>
      <c r="L76" s="31">
        <f>SUM(L77:L77)</f>
        <v>0</v>
      </c>
      <c r="AI76" s="25"/>
      <c r="AS76" s="31">
        <f>SUM(AJ77:AJ77)</f>
        <v>0</v>
      </c>
      <c r="AT76" s="31">
        <f>SUM(AK77:AK77)</f>
        <v>0</v>
      </c>
      <c r="AU76" s="31">
        <f>SUM(AL77:AL77)</f>
        <v>0</v>
      </c>
    </row>
    <row r="77" spans="1:62" ht="12.75">
      <c r="A77" s="4" t="s">
        <v>58</v>
      </c>
      <c r="B77" s="4" t="s">
        <v>131</v>
      </c>
      <c r="C77" s="98" t="s">
        <v>206</v>
      </c>
      <c r="D77" s="99"/>
      <c r="E77" s="99"/>
      <c r="F77" s="99"/>
      <c r="G77" s="99"/>
      <c r="H77" s="99"/>
      <c r="I77" s="4" t="s">
        <v>232</v>
      </c>
      <c r="J77" s="16">
        <v>1</v>
      </c>
      <c r="K77" s="16">
        <v>0</v>
      </c>
      <c r="L77" s="16">
        <f>J77*K77</f>
        <v>0</v>
      </c>
      <c r="Z77" s="26">
        <f>IF(AQ77="5",BJ77,0)</f>
        <v>0</v>
      </c>
      <c r="AB77" s="26">
        <f>IF(AQ77="1",BH77,0)</f>
        <v>0</v>
      </c>
      <c r="AC77" s="26">
        <f>IF(AQ77="1",BI77,0)</f>
        <v>0</v>
      </c>
      <c r="AD77" s="26">
        <f>IF(AQ77="7",BH77,0)</f>
        <v>0</v>
      </c>
      <c r="AE77" s="26">
        <f>IF(AQ77="7",BI77,0)</f>
        <v>0</v>
      </c>
      <c r="AF77" s="26">
        <f>IF(AQ77="2",BH77,0)</f>
        <v>0</v>
      </c>
      <c r="AG77" s="26">
        <f>IF(AQ77="2",BI77,0)</f>
        <v>0</v>
      </c>
      <c r="AH77" s="26">
        <f>IF(AQ77="0",BJ77,0)</f>
        <v>0</v>
      </c>
      <c r="AI77" s="25"/>
      <c r="AJ77" s="16">
        <f>IF(AN77=0,L77,0)</f>
        <v>0</v>
      </c>
      <c r="AK77" s="16">
        <f>IF(AN77=15,L77,0)</f>
        <v>0</v>
      </c>
      <c r="AL77" s="16">
        <f>IF(AN77=21,L77,0)</f>
        <v>0</v>
      </c>
      <c r="AN77" s="26">
        <v>21</v>
      </c>
      <c r="AO77" s="26">
        <f>K77*0</f>
        <v>0</v>
      </c>
      <c r="AP77" s="26">
        <f>K77*(1-0)</f>
        <v>0</v>
      </c>
      <c r="AQ77" s="27" t="s">
        <v>8</v>
      </c>
      <c r="AV77" s="26">
        <f>AW77+AX77</f>
        <v>0</v>
      </c>
      <c r="AW77" s="26">
        <f>J77*AO77</f>
        <v>0</v>
      </c>
      <c r="AX77" s="26">
        <f>J77*AP77</f>
        <v>0</v>
      </c>
      <c r="AY77" s="29" t="s">
        <v>263</v>
      </c>
      <c r="AZ77" s="29" t="s">
        <v>271</v>
      </c>
      <c r="BA77" s="25" t="s">
        <v>272</v>
      </c>
      <c r="BC77" s="26">
        <f>AW77+AX77</f>
        <v>0</v>
      </c>
      <c r="BD77" s="26">
        <f>K77/(100-BE77)*100</f>
        <v>0</v>
      </c>
      <c r="BE77" s="26">
        <v>0</v>
      </c>
      <c r="BF77" s="26">
        <f>77</f>
        <v>77</v>
      </c>
      <c r="BH77" s="16">
        <f>J77*AO77</f>
        <v>0</v>
      </c>
      <c r="BI77" s="16">
        <f>J77*AP77</f>
        <v>0</v>
      </c>
      <c r="BJ77" s="16">
        <f>J77*K77</f>
        <v>0</v>
      </c>
    </row>
    <row r="78" spans="1:47" ht="12.75">
      <c r="A78" s="5"/>
      <c r="B78" s="13" t="s">
        <v>132</v>
      </c>
      <c r="C78" s="100" t="s">
        <v>207</v>
      </c>
      <c r="D78" s="101"/>
      <c r="E78" s="101"/>
      <c r="F78" s="101"/>
      <c r="G78" s="101"/>
      <c r="H78" s="101"/>
      <c r="I78" s="5" t="s">
        <v>6</v>
      </c>
      <c r="J78" s="5" t="s">
        <v>6</v>
      </c>
      <c r="K78" s="5" t="s">
        <v>6</v>
      </c>
      <c r="L78" s="31">
        <f>SUM(L79:L83)</f>
        <v>0</v>
      </c>
      <c r="AI78" s="25"/>
      <c r="AS78" s="31">
        <f>SUM(AJ79:AJ83)</f>
        <v>0</v>
      </c>
      <c r="AT78" s="31">
        <f>SUM(AK79:AK83)</f>
        <v>0</v>
      </c>
      <c r="AU78" s="31">
        <f>SUM(AL79:AL83)</f>
        <v>0</v>
      </c>
    </row>
    <row r="79" spans="1:62" ht="12.75">
      <c r="A79" s="4" t="s">
        <v>59</v>
      </c>
      <c r="B79" s="4" t="s">
        <v>133</v>
      </c>
      <c r="C79" s="98" t="s">
        <v>208</v>
      </c>
      <c r="D79" s="99"/>
      <c r="E79" s="99"/>
      <c r="F79" s="99"/>
      <c r="G79" s="99"/>
      <c r="H79" s="99"/>
      <c r="I79" s="4" t="s">
        <v>235</v>
      </c>
      <c r="J79" s="16">
        <v>2.1574</v>
      </c>
      <c r="K79" s="16">
        <v>0</v>
      </c>
      <c r="L79" s="16">
        <f>J79*K79</f>
        <v>0</v>
      </c>
      <c r="Z79" s="26">
        <f>IF(AQ79="5",BJ79,0)</f>
        <v>0</v>
      </c>
      <c r="AB79" s="26">
        <f>IF(AQ79="1",BH79,0)</f>
        <v>0</v>
      </c>
      <c r="AC79" s="26">
        <f>IF(AQ79="1",BI79,0)</f>
        <v>0</v>
      </c>
      <c r="AD79" s="26">
        <f>IF(AQ79="7",BH79,0)</f>
        <v>0</v>
      </c>
      <c r="AE79" s="26">
        <f>IF(AQ79="7",BI79,0)</f>
        <v>0</v>
      </c>
      <c r="AF79" s="26">
        <f>IF(AQ79="2",BH79,0)</f>
        <v>0</v>
      </c>
      <c r="AG79" s="26">
        <f>IF(AQ79="2",BI79,0)</f>
        <v>0</v>
      </c>
      <c r="AH79" s="26">
        <f>IF(AQ79="0",BJ79,0)</f>
        <v>0</v>
      </c>
      <c r="AI79" s="25"/>
      <c r="AJ79" s="16">
        <f>IF(AN79=0,L79,0)</f>
        <v>0</v>
      </c>
      <c r="AK79" s="16">
        <f>IF(AN79=15,L79,0)</f>
        <v>0</v>
      </c>
      <c r="AL79" s="16">
        <f>IF(AN79=21,L79,0)</f>
        <v>0</v>
      </c>
      <c r="AN79" s="26">
        <v>21</v>
      </c>
      <c r="AO79" s="26">
        <f>K79*0</f>
        <v>0</v>
      </c>
      <c r="AP79" s="26">
        <f>K79*(1-0)</f>
        <v>0</v>
      </c>
      <c r="AQ79" s="27" t="s">
        <v>11</v>
      </c>
      <c r="AV79" s="26">
        <f>AW79+AX79</f>
        <v>0</v>
      </c>
      <c r="AW79" s="26">
        <f>J79*AO79</f>
        <v>0</v>
      </c>
      <c r="AX79" s="26">
        <f>J79*AP79</f>
        <v>0</v>
      </c>
      <c r="AY79" s="29" t="s">
        <v>264</v>
      </c>
      <c r="AZ79" s="29" t="s">
        <v>271</v>
      </c>
      <c r="BA79" s="25" t="s">
        <v>272</v>
      </c>
      <c r="BC79" s="26">
        <f>AW79+AX79</f>
        <v>0</v>
      </c>
      <c r="BD79" s="26">
        <f>K79/(100-BE79)*100</f>
        <v>0</v>
      </c>
      <c r="BE79" s="26">
        <v>0</v>
      </c>
      <c r="BF79" s="26">
        <f>79</f>
        <v>79</v>
      </c>
      <c r="BH79" s="16">
        <f>J79*AO79</f>
        <v>0</v>
      </c>
      <c r="BI79" s="16">
        <f>J79*AP79</f>
        <v>0</v>
      </c>
      <c r="BJ79" s="16">
        <f>J79*K79</f>
        <v>0</v>
      </c>
    </row>
    <row r="80" spans="1:62" ht="12.75">
      <c r="A80" s="4" t="s">
        <v>60</v>
      </c>
      <c r="B80" s="4" t="s">
        <v>134</v>
      </c>
      <c r="C80" s="98" t="s">
        <v>209</v>
      </c>
      <c r="D80" s="99"/>
      <c r="E80" s="99"/>
      <c r="F80" s="99"/>
      <c r="G80" s="99"/>
      <c r="H80" s="99"/>
      <c r="I80" s="4" t="s">
        <v>235</v>
      </c>
      <c r="J80" s="16">
        <v>30.2036</v>
      </c>
      <c r="K80" s="16">
        <v>0</v>
      </c>
      <c r="L80" s="16">
        <f>J80*K80</f>
        <v>0</v>
      </c>
      <c r="Z80" s="26">
        <f>IF(AQ80="5",BJ80,0)</f>
        <v>0</v>
      </c>
      <c r="AB80" s="26">
        <f>IF(AQ80="1",BH80,0)</f>
        <v>0</v>
      </c>
      <c r="AC80" s="26">
        <f>IF(AQ80="1",BI80,0)</f>
        <v>0</v>
      </c>
      <c r="AD80" s="26">
        <f>IF(AQ80="7",BH80,0)</f>
        <v>0</v>
      </c>
      <c r="AE80" s="26">
        <f>IF(AQ80="7",BI80,0)</f>
        <v>0</v>
      </c>
      <c r="AF80" s="26">
        <f>IF(AQ80="2",BH80,0)</f>
        <v>0</v>
      </c>
      <c r="AG80" s="26">
        <f>IF(AQ80="2",BI80,0)</f>
        <v>0</v>
      </c>
      <c r="AH80" s="26">
        <f>IF(AQ80="0",BJ80,0)</f>
        <v>0</v>
      </c>
      <c r="AI80" s="25"/>
      <c r="AJ80" s="16">
        <f>IF(AN80=0,L80,0)</f>
        <v>0</v>
      </c>
      <c r="AK80" s="16">
        <f>IF(AN80=15,L80,0)</f>
        <v>0</v>
      </c>
      <c r="AL80" s="16">
        <f>IF(AN80=21,L80,0)</f>
        <v>0</v>
      </c>
      <c r="AN80" s="26">
        <v>21</v>
      </c>
      <c r="AO80" s="26">
        <f>K80*0</f>
        <v>0</v>
      </c>
      <c r="AP80" s="26">
        <f>K80*(1-0)</f>
        <v>0</v>
      </c>
      <c r="AQ80" s="27" t="s">
        <v>11</v>
      </c>
      <c r="AV80" s="26">
        <f>AW80+AX80</f>
        <v>0</v>
      </c>
      <c r="AW80" s="26">
        <f>J80*AO80</f>
        <v>0</v>
      </c>
      <c r="AX80" s="26">
        <f>J80*AP80</f>
        <v>0</v>
      </c>
      <c r="AY80" s="29" t="s">
        <v>264</v>
      </c>
      <c r="AZ80" s="29" t="s">
        <v>271</v>
      </c>
      <c r="BA80" s="25" t="s">
        <v>272</v>
      </c>
      <c r="BC80" s="26">
        <f>AW80+AX80</f>
        <v>0</v>
      </c>
      <c r="BD80" s="26">
        <f>K80/(100-BE80)*100</f>
        <v>0</v>
      </c>
      <c r="BE80" s="26">
        <v>0</v>
      </c>
      <c r="BF80" s="26">
        <f>80</f>
        <v>80</v>
      </c>
      <c r="BH80" s="16">
        <f>J80*AO80</f>
        <v>0</v>
      </c>
      <c r="BI80" s="16">
        <f>J80*AP80</f>
        <v>0</v>
      </c>
      <c r="BJ80" s="16">
        <f>J80*K80</f>
        <v>0</v>
      </c>
    </row>
    <row r="81" spans="1:62" ht="12.75">
      <c r="A81" s="4" t="s">
        <v>61</v>
      </c>
      <c r="B81" s="4" t="s">
        <v>135</v>
      </c>
      <c r="C81" s="98" t="s">
        <v>210</v>
      </c>
      <c r="D81" s="99"/>
      <c r="E81" s="99"/>
      <c r="F81" s="99"/>
      <c r="G81" s="99"/>
      <c r="H81" s="99"/>
      <c r="I81" s="4" t="s">
        <v>235</v>
      </c>
      <c r="J81" s="16">
        <v>2.1574</v>
      </c>
      <c r="K81" s="16">
        <v>0</v>
      </c>
      <c r="L81" s="16">
        <f>J81*K81</f>
        <v>0</v>
      </c>
      <c r="Z81" s="26">
        <f>IF(AQ81="5",BJ81,0)</f>
        <v>0</v>
      </c>
      <c r="AB81" s="26">
        <f>IF(AQ81="1",BH81,0)</f>
        <v>0</v>
      </c>
      <c r="AC81" s="26">
        <f>IF(AQ81="1",BI81,0)</f>
        <v>0</v>
      </c>
      <c r="AD81" s="26">
        <f>IF(AQ81="7",BH81,0)</f>
        <v>0</v>
      </c>
      <c r="AE81" s="26">
        <f>IF(AQ81="7",BI81,0)</f>
        <v>0</v>
      </c>
      <c r="AF81" s="26">
        <f>IF(AQ81="2",BH81,0)</f>
        <v>0</v>
      </c>
      <c r="AG81" s="26">
        <f>IF(AQ81="2",BI81,0)</f>
        <v>0</v>
      </c>
      <c r="AH81" s="26">
        <f>IF(AQ81="0",BJ81,0)</f>
        <v>0</v>
      </c>
      <c r="AI81" s="25"/>
      <c r="AJ81" s="16">
        <f>IF(AN81=0,L81,0)</f>
        <v>0</v>
      </c>
      <c r="AK81" s="16">
        <f>IF(AN81=15,L81,0)</f>
        <v>0</v>
      </c>
      <c r="AL81" s="16">
        <f>IF(AN81=21,L81,0)</f>
        <v>0</v>
      </c>
      <c r="AN81" s="26">
        <v>21</v>
      </c>
      <c r="AO81" s="26">
        <f>K81*0</f>
        <v>0</v>
      </c>
      <c r="AP81" s="26">
        <f>K81*(1-0)</f>
        <v>0</v>
      </c>
      <c r="AQ81" s="27" t="s">
        <v>11</v>
      </c>
      <c r="AV81" s="26">
        <f>AW81+AX81</f>
        <v>0</v>
      </c>
      <c r="AW81" s="26">
        <f>J81*AO81</f>
        <v>0</v>
      </c>
      <c r="AX81" s="26">
        <f>J81*AP81</f>
        <v>0</v>
      </c>
      <c r="AY81" s="29" t="s">
        <v>264</v>
      </c>
      <c r="AZ81" s="29" t="s">
        <v>271</v>
      </c>
      <c r="BA81" s="25" t="s">
        <v>272</v>
      </c>
      <c r="BC81" s="26">
        <f>AW81+AX81</f>
        <v>0</v>
      </c>
      <c r="BD81" s="26">
        <f>K81/(100-BE81)*100</f>
        <v>0</v>
      </c>
      <c r="BE81" s="26">
        <v>0</v>
      </c>
      <c r="BF81" s="26">
        <f>81</f>
        <v>81</v>
      </c>
      <c r="BH81" s="16">
        <f>J81*AO81</f>
        <v>0</v>
      </c>
      <c r="BI81" s="16">
        <f>J81*AP81</f>
        <v>0</v>
      </c>
      <c r="BJ81" s="16">
        <f>J81*K81</f>
        <v>0</v>
      </c>
    </row>
    <row r="82" spans="1:62" ht="12.75">
      <c r="A82" s="4" t="s">
        <v>62</v>
      </c>
      <c r="B82" s="4" t="s">
        <v>136</v>
      </c>
      <c r="C82" s="98" t="s">
        <v>211</v>
      </c>
      <c r="D82" s="99"/>
      <c r="E82" s="99"/>
      <c r="F82" s="99"/>
      <c r="G82" s="99"/>
      <c r="H82" s="99"/>
      <c r="I82" s="4" t="s">
        <v>235</v>
      </c>
      <c r="J82" s="16">
        <v>4.3148</v>
      </c>
      <c r="K82" s="16">
        <v>0</v>
      </c>
      <c r="L82" s="16">
        <f>J82*K82</f>
        <v>0</v>
      </c>
      <c r="Z82" s="26">
        <f>IF(AQ82="5",BJ82,0)</f>
        <v>0</v>
      </c>
      <c r="AB82" s="26">
        <f>IF(AQ82="1",BH82,0)</f>
        <v>0</v>
      </c>
      <c r="AC82" s="26">
        <f>IF(AQ82="1",BI82,0)</f>
        <v>0</v>
      </c>
      <c r="AD82" s="26">
        <f>IF(AQ82="7",BH82,0)</f>
        <v>0</v>
      </c>
      <c r="AE82" s="26">
        <f>IF(AQ82="7",BI82,0)</f>
        <v>0</v>
      </c>
      <c r="AF82" s="26">
        <f>IF(AQ82="2",BH82,0)</f>
        <v>0</v>
      </c>
      <c r="AG82" s="26">
        <f>IF(AQ82="2",BI82,0)</f>
        <v>0</v>
      </c>
      <c r="AH82" s="26">
        <f>IF(AQ82="0",BJ82,0)</f>
        <v>0</v>
      </c>
      <c r="AI82" s="25"/>
      <c r="AJ82" s="16">
        <f>IF(AN82=0,L82,0)</f>
        <v>0</v>
      </c>
      <c r="AK82" s="16">
        <f>IF(AN82=15,L82,0)</f>
        <v>0</v>
      </c>
      <c r="AL82" s="16">
        <f>IF(AN82=21,L82,0)</f>
        <v>0</v>
      </c>
      <c r="AN82" s="26">
        <v>21</v>
      </c>
      <c r="AO82" s="26">
        <f>K82*0</f>
        <v>0</v>
      </c>
      <c r="AP82" s="26">
        <f>K82*(1-0)</f>
        <v>0</v>
      </c>
      <c r="AQ82" s="27" t="s">
        <v>11</v>
      </c>
      <c r="AV82" s="26">
        <f>AW82+AX82</f>
        <v>0</v>
      </c>
      <c r="AW82" s="26">
        <f>J82*AO82</f>
        <v>0</v>
      </c>
      <c r="AX82" s="26">
        <f>J82*AP82</f>
        <v>0</v>
      </c>
      <c r="AY82" s="29" t="s">
        <v>264</v>
      </c>
      <c r="AZ82" s="29" t="s">
        <v>271</v>
      </c>
      <c r="BA82" s="25" t="s">
        <v>272</v>
      </c>
      <c r="BC82" s="26">
        <f>AW82+AX82</f>
        <v>0</v>
      </c>
      <c r="BD82" s="26">
        <f>K82/(100-BE82)*100</f>
        <v>0</v>
      </c>
      <c r="BE82" s="26">
        <v>0</v>
      </c>
      <c r="BF82" s="26">
        <f>82</f>
        <v>82</v>
      </c>
      <c r="BH82" s="16">
        <f>J82*AO82</f>
        <v>0</v>
      </c>
      <c r="BI82" s="16">
        <f>J82*AP82</f>
        <v>0</v>
      </c>
      <c r="BJ82" s="16">
        <f>J82*K82</f>
        <v>0</v>
      </c>
    </row>
    <row r="83" spans="1:62" ht="12.75">
      <c r="A83" s="7" t="s">
        <v>63</v>
      </c>
      <c r="B83" s="7" t="s">
        <v>137</v>
      </c>
      <c r="C83" s="104" t="s">
        <v>212</v>
      </c>
      <c r="D83" s="105"/>
      <c r="E83" s="105"/>
      <c r="F83" s="105"/>
      <c r="G83" s="105"/>
      <c r="H83" s="105"/>
      <c r="I83" s="7" t="s">
        <v>235</v>
      </c>
      <c r="J83" s="18">
        <v>2.1574</v>
      </c>
      <c r="K83" s="18">
        <v>0</v>
      </c>
      <c r="L83" s="18">
        <f>J83*K83</f>
        <v>0</v>
      </c>
      <c r="Z83" s="26">
        <f>IF(AQ83="5",BJ83,0)</f>
        <v>0</v>
      </c>
      <c r="AB83" s="26">
        <f>IF(AQ83="1",BH83,0)</f>
        <v>0</v>
      </c>
      <c r="AC83" s="26">
        <f>IF(AQ83="1",BI83,0)</f>
        <v>0</v>
      </c>
      <c r="AD83" s="26">
        <f>IF(AQ83="7",BH83,0)</f>
        <v>0</v>
      </c>
      <c r="AE83" s="26">
        <f>IF(AQ83="7",BI83,0)</f>
        <v>0</v>
      </c>
      <c r="AF83" s="26">
        <f>IF(AQ83="2",BH83,0)</f>
        <v>0</v>
      </c>
      <c r="AG83" s="26">
        <f>IF(AQ83="2",BI83,0)</f>
        <v>0</v>
      </c>
      <c r="AH83" s="26">
        <f>IF(AQ83="0",BJ83,0)</f>
        <v>0</v>
      </c>
      <c r="AI83" s="25"/>
      <c r="AJ83" s="16">
        <f>IF(AN83=0,L83,0)</f>
        <v>0</v>
      </c>
      <c r="AK83" s="16">
        <f>IF(AN83=15,L83,0)</f>
        <v>0</v>
      </c>
      <c r="AL83" s="16">
        <f>IF(AN83=21,L83,0)</f>
        <v>0</v>
      </c>
      <c r="AN83" s="26">
        <v>21</v>
      </c>
      <c r="AO83" s="26">
        <f>K83*0</f>
        <v>0</v>
      </c>
      <c r="AP83" s="26">
        <f>K83*(1-0)</f>
        <v>0</v>
      </c>
      <c r="AQ83" s="27" t="s">
        <v>11</v>
      </c>
      <c r="AV83" s="26">
        <f>AW83+AX83</f>
        <v>0</v>
      </c>
      <c r="AW83" s="26">
        <f>J83*AO83</f>
        <v>0</v>
      </c>
      <c r="AX83" s="26">
        <f>J83*AP83</f>
        <v>0</v>
      </c>
      <c r="AY83" s="29" t="s">
        <v>264</v>
      </c>
      <c r="AZ83" s="29" t="s">
        <v>271</v>
      </c>
      <c r="BA83" s="25" t="s">
        <v>272</v>
      </c>
      <c r="BC83" s="26">
        <f>AW83+AX83</f>
        <v>0</v>
      </c>
      <c r="BD83" s="26">
        <f>K83/(100-BE83)*100</f>
        <v>0</v>
      </c>
      <c r="BE83" s="26">
        <v>0</v>
      </c>
      <c r="BF83" s="26">
        <f>83</f>
        <v>83</v>
      </c>
      <c r="BH83" s="16">
        <f>J83*AO83</f>
        <v>0</v>
      </c>
      <c r="BI83" s="16">
        <f>J83*AP83</f>
        <v>0</v>
      </c>
      <c r="BJ83" s="16">
        <f>J83*K83</f>
        <v>0</v>
      </c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2">
        <f>L12+L16+L18+L21+L25+L42+L46+L54+L61+L67+L69+L72+L74+L76+L78</f>
        <v>0</v>
      </c>
    </row>
    <row r="85" ht="11.25" customHeight="1">
      <c r="A85" s="9" t="s">
        <v>64</v>
      </c>
    </row>
    <row r="86" spans="1:12" ht="12.75">
      <c r="A86" s="85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</sheetData>
  <sheetProtection/>
  <mergeCells count="100">
    <mergeCell ref="C82:H82"/>
    <mergeCell ref="C83:H83"/>
    <mergeCell ref="A86:L86"/>
    <mergeCell ref="C76:H76"/>
    <mergeCell ref="C77:H77"/>
    <mergeCell ref="C78:H78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4:H64"/>
    <mergeCell ref="C65:H65"/>
    <mergeCell ref="C66:H66"/>
    <mergeCell ref="C67:H67"/>
    <mergeCell ref="C68:H68"/>
    <mergeCell ref="C69:H69"/>
    <mergeCell ref="C58:H58"/>
    <mergeCell ref="C59:H59"/>
    <mergeCell ref="C60:H60"/>
    <mergeCell ref="C61:H61"/>
    <mergeCell ref="C62:H62"/>
    <mergeCell ref="C63:H63"/>
    <mergeCell ref="C52:H52"/>
    <mergeCell ref="C53:H53"/>
    <mergeCell ref="C54:H54"/>
    <mergeCell ref="C55:H55"/>
    <mergeCell ref="C56:H56"/>
    <mergeCell ref="C57:H57"/>
    <mergeCell ref="C46:H46"/>
    <mergeCell ref="C47:H47"/>
    <mergeCell ref="C48:H48"/>
    <mergeCell ref="C49:H49"/>
    <mergeCell ref="C50:H50"/>
    <mergeCell ref="C51:H51"/>
    <mergeCell ref="C40:H40"/>
    <mergeCell ref="C41:H41"/>
    <mergeCell ref="C42:H42"/>
    <mergeCell ref="C43:H43"/>
    <mergeCell ref="C44:H44"/>
    <mergeCell ref="C45:H45"/>
    <mergeCell ref="C34:H34"/>
    <mergeCell ref="C35:H35"/>
    <mergeCell ref="C36:H36"/>
    <mergeCell ref="C37:H37"/>
    <mergeCell ref="C38:H38"/>
    <mergeCell ref="C39:H39"/>
    <mergeCell ref="C28:H28"/>
    <mergeCell ref="C29:H29"/>
    <mergeCell ref="C30:H30"/>
    <mergeCell ref="C31:H31"/>
    <mergeCell ref="C32:H32"/>
    <mergeCell ref="C33:H33"/>
    <mergeCell ref="C22:H22"/>
    <mergeCell ref="C23:H23"/>
    <mergeCell ref="C24:H24"/>
    <mergeCell ref="C25:H25"/>
    <mergeCell ref="C26:H26"/>
    <mergeCell ref="C27:H27"/>
    <mergeCell ref="C16:H16"/>
    <mergeCell ref="C17:H17"/>
    <mergeCell ref="C18:H18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A8:B9"/>
    <mergeCell ref="C8:C9"/>
    <mergeCell ref="D8:E9"/>
    <mergeCell ref="F8:F9"/>
    <mergeCell ref="G8:G9"/>
    <mergeCell ref="H8:L9"/>
    <mergeCell ref="A6:B7"/>
    <mergeCell ref="C6:C7"/>
    <mergeCell ref="D6:E7"/>
    <mergeCell ref="F6:F7"/>
    <mergeCell ref="G6:G7"/>
    <mergeCell ref="H6:L7"/>
    <mergeCell ref="A4:B5"/>
    <mergeCell ref="C4:C5"/>
    <mergeCell ref="D4:E5"/>
    <mergeCell ref="F4:F5"/>
    <mergeCell ref="G4:G5"/>
    <mergeCell ref="H4:L5"/>
    <mergeCell ref="A1:L1"/>
    <mergeCell ref="A2:B3"/>
    <mergeCell ref="C2:C3"/>
    <mergeCell ref="D2:E3"/>
    <mergeCell ref="F2:F3"/>
    <mergeCell ref="G2:G3"/>
    <mergeCell ref="H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6" width="11.57421875" style="0" customWidth="1"/>
    <col min="7" max="7" width="20.8515625" style="0" customWidth="1"/>
    <col min="8" max="9" width="0" style="0" hidden="1" customWidth="1"/>
  </cols>
  <sheetData>
    <row r="1" spans="1:7" ht="72.75" customHeight="1">
      <c r="A1" s="72" t="s">
        <v>276</v>
      </c>
      <c r="B1" s="73"/>
      <c r="C1" s="73"/>
      <c r="D1" s="73"/>
      <c r="E1" s="73"/>
      <c r="F1" s="73"/>
      <c r="G1" s="73"/>
    </row>
    <row r="2" spans="1:8" ht="12.75">
      <c r="A2" s="74" t="s">
        <v>1</v>
      </c>
      <c r="B2" s="78" t="str">
        <f>'Stavební rozpočet'!C2</f>
        <v>OPRAVA SPRCH A VÝMĚNA UMYVADEL V SDH DRUŽSTEVNÍ</v>
      </c>
      <c r="C2" s="106"/>
      <c r="D2" s="81" t="s">
        <v>218</v>
      </c>
      <c r="E2" s="81" t="str">
        <f>'Stavební rozpočet'!H2</f>
        <v>Město Studénka</v>
      </c>
      <c r="F2" s="75"/>
      <c r="G2" s="82"/>
      <c r="H2" s="23"/>
    </row>
    <row r="3" spans="1:8" ht="12.75">
      <c r="A3" s="76"/>
      <c r="B3" s="79"/>
      <c r="C3" s="79"/>
      <c r="D3" s="77"/>
      <c r="E3" s="77"/>
      <c r="F3" s="77"/>
      <c r="G3" s="83"/>
      <c r="H3" s="23"/>
    </row>
    <row r="4" spans="1:8" ht="12.75">
      <c r="A4" s="84" t="s">
        <v>2</v>
      </c>
      <c r="B4" s="85" t="str">
        <f>'Stavební rozpočet'!C4</f>
        <v> </v>
      </c>
      <c r="C4" s="77"/>
      <c r="D4" s="85" t="s">
        <v>219</v>
      </c>
      <c r="E4" s="85" t="str">
        <f>'Stavební rozpočet'!H4</f>
        <v>Renata Škopová</v>
      </c>
      <c r="F4" s="77"/>
      <c r="G4" s="83"/>
      <c r="H4" s="23"/>
    </row>
    <row r="5" spans="1:8" ht="12.75">
      <c r="A5" s="76"/>
      <c r="B5" s="77"/>
      <c r="C5" s="77"/>
      <c r="D5" s="77"/>
      <c r="E5" s="77"/>
      <c r="F5" s="77"/>
      <c r="G5" s="83"/>
      <c r="H5" s="23"/>
    </row>
    <row r="6" spans="1:8" ht="12.75">
      <c r="A6" s="84" t="s">
        <v>3</v>
      </c>
      <c r="B6" s="85" t="str">
        <f>'Stavební rozpočet'!C6</f>
        <v> </v>
      </c>
      <c r="C6" s="77"/>
      <c r="D6" s="85" t="s">
        <v>220</v>
      </c>
      <c r="E6" s="85" t="str">
        <f>'Stavební rozpočet'!H6</f>
        <v> </v>
      </c>
      <c r="F6" s="77"/>
      <c r="G6" s="83"/>
      <c r="H6" s="23"/>
    </row>
    <row r="7" spans="1:8" ht="12.75">
      <c r="A7" s="76"/>
      <c r="B7" s="77"/>
      <c r="C7" s="77"/>
      <c r="D7" s="77"/>
      <c r="E7" s="77"/>
      <c r="F7" s="77"/>
      <c r="G7" s="83"/>
      <c r="H7" s="23"/>
    </row>
    <row r="8" spans="1:8" ht="12.75">
      <c r="A8" s="84" t="s">
        <v>221</v>
      </c>
      <c r="B8" s="85" t="str">
        <f>'Stavební rozpočet'!H8</f>
        <v>Radovan Duchoň</v>
      </c>
      <c r="C8" s="77"/>
      <c r="D8" s="86" t="s">
        <v>216</v>
      </c>
      <c r="E8" s="85" t="str">
        <f>'Stavební rozpočet'!F8</f>
        <v>27.04.2019</v>
      </c>
      <c r="F8" s="77"/>
      <c r="G8" s="83"/>
      <c r="H8" s="23"/>
    </row>
    <row r="9" spans="1:8" ht="12.75">
      <c r="A9" s="87"/>
      <c r="B9" s="88"/>
      <c r="C9" s="88"/>
      <c r="D9" s="88"/>
      <c r="E9" s="88"/>
      <c r="F9" s="88"/>
      <c r="G9" s="89"/>
      <c r="H9" s="23"/>
    </row>
    <row r="10" spans="1:8" ht="12.75">
      <c r="A10" s="33" t="s">
        <v>277</v>
      </c>
      <c r="B10" s="35" t="s">
        <v>65</v>
      </c>
      <c r="C10" s="107" t="s">
        <v>139</v>
      </c>
      <c r="D10" s="108"/>
      <c r="E10" s="108"/>
      <c r="F10" s="109"/>
      <c r="G10" s="37" t="s">
        <v>279</v>
      </c>
      <c r="H10" s="23"/>
    </row>
    <row r="11" spans="1:9" ht="12.75">
      <c r="A11" s="34"/>
      <c r="B11" s="34" t="s">
        <v>66</v>
      </c>
      <c r="C11" s="110" t="s">
        <v>141</v>
      </c>
      <c r="D11" s="111"/>
      <c r="E11" s="111"/>
      <c r="F11" s="111"/>
      <c r="G11" s="38">
        <f>'Stavební rozpočet'!L12</f>
        <v>0</v>
      </c>
      <c r="H11" s="26" t="s">
        <v>280</v>
      </c>
      <c r="I11" s="26">
        <f aca="true" t="shared" si="0" ref="I11:I25">IF(H11="F",0,G11)</f>
        <v>0</v>
      </c>
    </row>
    <row r="12" spans="1:9" ht="12.75">
      <c r="A12" s="14"/>
      <c r="B12" s="14" t="s">
        <v>70</v>
      </c>
      <c r="C12" s="86" t="s">
        <v>145</v>
      </c>
      <c r="D12" s="77"/>
      <c r="E12" s="77"/>
      <c r="F12" s="77"/>
      <c r="G12" s="26">
        <f>'Stavební rozpočet'!L16</f>
        <v>0</v>
      </c>
      <c r="H12" s="26" t="s">
        <v>280</v>
      </c>
      <c r="I12" s="26">
        <f t="shared" si="0"/>
        <v>0</v>
      </c>
    </row>
    <row r="13" spans="1:9" ht="12.75">
      <c r="A13" s="14"/>
      <c r="B13" s="14" t="s">
        <v>72</v>
      </c>
      <c r="C13" s="86" t="s">
        <v>147</v>
      </c>
      <c r="D13" s="77"/>
      <c r="E13" s="77"/>
      <c r="F13" s="77"/>
      <c r="G13" s="26">
        <f>'Stavební rozpočet'!L18</f>
        <v>0</v>
      </c>
      <c r="H13" s="26" t="s">
        <v>280</v>
      </c>
      <c r="I13" s="26">
        <f t="shared" si="0"/>
        <v>0</v>
      </c>
    </row>
    <row r="14" spans="1:9" ht="12.75">
      <c r="A14" s="14"/>
      <c r="B14" s="14" t="s">
        <v>75</v>
      </c>
      <c r="C14" s="86" t="s">
        <v>150</v>
      </c>
      <c r="D14" s="77"/>
      <c r="E14" s="77"/>
      <c r="F14" s="77"/>
      <c r="G14" s="26">
        <f>'Stavební rozpočet'!L21</f>
        <v>0</v>
      </c>
      <c r="H14" s="26" t="s">
        <v>280</v>
      </c>
      <c r="I14" s="26">
        <f t="shared" si="0"/>
        <v>0</v>
      </c>
    </row>
    <row r="15" spans="1:9" ht="12.75">
      <c r="A15" s="14"/>
      <c r="B15" s="14" t="s">
        <v>79</v>
      </c>
      <c r="C15" s="86" t="s">
        <v>154</v>
      </c>
      <c r="D15" s="77"/>
      <c r="E15" s="77"/>
      <c r="F15" s="77"/>
      <c r="G15" s="26">
        <f>'Stavební rozpočet'!L25</f>
        <v>0</v>
      </c>
      <c r="H15" s="26" t="s">
        <v>280</v>
      </c>
      <c r="I15" s="26">
        <f t="shared" si="0"/>
        <v>0</v>
      </c>
    </row>
    <row r="16" spans="1:9" ht="12.75">
      <c r="A16" s="14"/>
      <c r="B16" s="14" t="s">
        <v>96</v>
      </c>
      <c r="C16" s="86" t="s">
        <v>171</v>
      </c>
      <c r="D16" s="77"/>
      <c r="E16" s="77"/>
      <c r="F16" s="77"/>
      <c r="G16" s="26">
        <f>'Stavební rozpočet'!L42</f>
        <v>0</v>
      </c>
      <c r="H16" s="26" t="s">
        <v>280</v>
      </c>
      <c r="I16" s="26">
        <f t="shared" si="0"/>
        <v>0</v>
      </c>
    </row>
    <row r="17" spans="1:9" ht="12.75">
      <c r="A17" s="14"/>
      <c r="B17" s="14" t="s">
        <v>100</v>
      </c>
      <c r="C17" s="86" t="s">
        <v>175</v>
      </c>
      <c r="D17" s="77"/>
      <c r="E17" s="77"/>
      <c r="F17" s="77"/>
      <c r="G17" s="26">
        <f>'Stavební rozpočet'!L46</f>
        <v>0</v>
      </c>
      <c r="H17" s="26" t="s">
        <v>280</v>
      </c>
      <c r="I17" s="26">
        <f t="shared" si="0"/>
        <v>0</v>
      </c>
    </row>
    <row r="18" spans="1:9" ht="12.75">
      <c r="A18" s="14"/>
      <c r="B18" s="14" t="s">
        <v>108</v>
      </c>
      <c r="C18" s="86" t="s">
        <v>183</v>
      </c>
      <c r="D18" s="77"/>
      <c r="E18" s="77"/>
      <c r="F18" s="77"/>
      <c r="G18" s="26">
        <f>'Stavební rozpočet'!L54</f>
        <v>0</v>
      </c>
      <c r="H18" s="26" t="s">
        <v>280</v>
      </c>
      <c r="I18" s="26">
        <f t="shared" si="0"/>
        <v>0</v>
      </c>
    </row>
    <row r="19" spans="1:9" ht="12.75">
      <c r="A19" s="14"/>
      <c r="B19" s="14" t="s">
        <v>115</v>
      </c>
      <c r="C19" s="86" t="s">
        <v>190</v>
      </c>
      <c r="D19" s="77"/>
      <c r="E19" s="77"/>
      <c r="F19" s="77"/>
      <c r="G19" s="26">
        <f>'Stavební rozpočet'!L61</f>
        <v>0</v>
      </c>
      <c r="H19" s="26" t="s">
        <v>280</v>
      </c>
      <c r="I19" s="26">
        <f t="shared" si="0"/>
        <v>0</v>
      </c>
    </row>
    <row r="20" spans="1:9" ht="12.75">
      <c r="A20" s="14"/>
      <c r="B20" s="14" t="s">
        <v>121</v>
      </c>
      <c r="C20" s="86" t="s">
        <v>196</v>
      </c>
      <c r="D20" s="77"/>
      <c r="E20" s="77"/>
      <c r="F20" s="77"/>
      <c r="G20" s="26">
        <f>'Stavební rozpočet'!L67</f>
        <v>0</v>
      </c>
      <c r="H20" s="26" t="s">
        <v>280</v>
      </c>
      <c r="I20" s="26">
        <f t="shared" si="0"/>
        <v>0</v>
      </c>
    </row>
    <row r="21" spans="1:9" ht="12.75">
      <c r="A21" s="14"/>
      <c r="B21" s="14" t="s">
        <v>123</v>
      </c>
      <c r="C21" s="86" t="s">
        <v>198</v>
      </c>
      <c r="D21" s="77"/>
      <c r="E21" s="77"/>
      <c r="F21" s="77"/>
      <c r="G21" s="26">
        <f>'Stavební rozpočet'!L69</f>
        <v>0</v>
      </c>
      <c r="H21" s="26" t="s">
        <v>280</v>
      </c>
      <c r="I21" s="26">
        <f t="shared" si="0"/>
        <v>0</v>
      </c>
    </row>
    <row r="22" spans="1:9" ht="12.75">
      <c r="A22" s="14"/>
      <c r="B22" s="14" t="s">
        <v>126</v>
      </c>
      <c r="C22" s="86" t="s">
        <v>201</v>
      </c>
      <c r="D22" s="77"/>
      <c r="E22" s="77"/>
      <c r="F22" s="77"/>
      <c r="G22" s="26">
        <f>'Stavební rozpočet'!L72</f>
        <v>0</v>
      </c>
      <c r="H22" s="26" t="s">
        <v>280</v>
      </c>
      <c r="I22" s="26">
        <f t="shared" si="0"/>
        <v>0</v>
      </c>
    </row>
    <row r="23" spans="1:9" ht="12.75">
      <c r="A23" s="14"/>
      <c r="B23" s="14" t="s">
        <v>128</v>
      </c>
      <c r="C23" s="86" t="s">
        <v>203</v>
      </c>
      <c r="D23" s="77"/>
      <c r="E23" s="77"/>
      <c r="F23" s="77"/>
      <c r="G23" s="26">
        <f>'Stavební rozpočet'!L74</f>
        <v>0</v>
      </c>
      <c r="H23" s="26" t="s">
        <v>280</v>
      </c>
      <c r="I23" s="26">
        <f t="shared" si="0"/>
        <v>0</v>
      </c>
    </row>
    <row r="24" spans="1:9" ht="12.75">
      <c r="A24" s="14"/>
      <c r="B24" s="14" t="s">
        <v>130</v>
      </c>
      <c r="C24" s="86" t="s">
        <v>205</v>
      </c>
      <c r="D24" s="77"/>
      <c r="E24" s="77"/>
      <c r="F24" s="77"/>
      <c r="G24" s="26">
        <f>'Stavební rozpočet'!L76</f>
        <v>0</v>
      </c>
      <c r="H24" s="26" t="s">
        <v>280</v>
      </c>
      <c r="I24" s="26">
        <f t="shared" si="0"/>
        <v>0</v>
      </c>
    </row>
    <row r="25" spans="1:9" ht="12.75">
      <c r="A25" s="14"/>
      <c r="B25" s="14" t="s">
        <v>132</v>
      </c>
      <c r="C25" s="86" t="s">
        <v>207</v>
      </c>
      <c r="D25" s="77"/>
      <c r="E25" s="77"/>
      <c r="F25" s="77"/>
      <c r="G25" s="26">
        <f>'Stavební rozpočet'!L78</f>
        <v>0</v>
      </c>
      <c r="H25" s="26" t="s">
        <v>280</v>
      </c>
      <c r="I25" s="26">
        <f t="shared" si="0"/>
        <v>0</v>
      </c>
    </row>
    <row r="27" spans="6:7" ht="12.75">
      <c r="F27" s="36" t="s">
        <v>278</v>
      </c>
      <c r="G27" s="39">
        <f>SUM(I11:I25)</f>
        <v>0</v>
      </c>
    </row>
  </sheetData>
  <sheetProtection/>
  <mergeCells count="33"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3.281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72" t="s">
        <v>281</v>
      </c>
      <c r="B1" s="73"/>
      <c r="C1" s="73"/>
      <c r="D1" s="73"/>
      <c r="E1" s="73"/>
      <c r="F1" s="73"/>
      <c r="G1" s="73"/>
      <c r="H1" s="73"/>
    </row>
    <row r="2" spans="1:9" ht="12.75">
      <c r="A2" s="74" t="s">
        <v>1</v>
      </c>
      <c r="B2" s="75"/>
      <c r="C2" s="78" t="str">
        <f>'Stavební rozpočet'!C2</f>
        <v>OPRAVA SPRCH A VÝMĚNA UMYVADEL V SDH DRUŽSTEVNÍ</v>
      </c>
      <c r="D2" s="106"/>
      <c r="E2" s="81" t="s">
        <v>218</v>
      </c>
      <c r="F2" s="81" t="str">
        <f>'Stavební rozpočet'!H2</f>
        <v>Město Studénka</v>
      </c>
      <c r="G2" s="75"/>
      <c r="H2" s="82"/>
      <c r="I2" s="23"/>
    </row>
    <row r="3" spans="1:9" ht="12.75">
      <c r="A3" s="76"/>
      <c r="B3" s="77"/>
      <c r="C3" s="79"/>
      <c r="D3" s="79"/>
      <c r="E3" s="77"/>
      <c r="F3" s="77"/>
      <c r="G3" s="77"/>
      <c r="H3" s="83"/>
      <c r="I3" s="23"/>
    </row>
    <row r="4" spans="1:9" ht="12.75">
      <c r="A4" s="84" t="s">
        <v>2</v>
      </c>
      <c r="B4" s="77"/>
      <c r="C4" s="85" t="str">
        <f>'Stavební rozpočet'!C4</f>
        <v> </v>
      </c>
      <c r="D4" s="77"/>
      <c r="E4" s="85" t="s">
        <v>219</v>
      </c>
      <c r="F4" s="85" t="str">
        <f>'Stavební rozpočet'!H4</f>
        <v>Renata Škopová</v>
      </c>
      <c r="G4" s="77"/>
      <c r="H4" s="83"/>
      <c r="I4" s="23"/>
    </row>
    <row r="5" spans="1:9" ht="12.75">
      <c r="A5" s="76"/>
      <c r="B5" s="77"/>
      <c r="C5" s="77"/>
      <c r="D5" s="77"/>
      <c r="E5" s="77"/>
      <c r="F5" s="77"/>
      <c r="G5" s="77"/>
      <c r="H5" s="83"/>
      <c r="I5" s="23"/>
    </row>
    <row r="6" spans="1:9" ht="12.75">
      <c r="A6" s="84" t="s">
        <v>3</v>
      </c>
      <c r="B6" s="77"/>
      <c r="C6" s="85" t="str">
        <f>'Stavební rozpočet'!C6</f>
        <v> </v>
      </c>
      <c r="D6" s="77"/>
      <c r="E6" s="85" t="s">
        <v>220</v>
      </c>
      <c r="F6" s="85" t="str">
        <f>'Stavební rozpočet'!H6</f>
        <v> </v>
      </c>
      <c r="G6" s="77"/>
      <c r="H6" s="83"/>
      <c r="I6" s="23"/>
    </row>
    <row r="7" spans="1:9" ht="12.75">
      <c r="A7" s="76"/>
      <c r="B7" s="77"/>
      <c r="C7" s="77"/>
      <c r="D7" s="77"/>
      <c r="E7" s="77"/>
      <c r="F7" s="77"/>
      <c r="G7" s="77"/>
      <c r="H7" s="83"/>
      <c r="I7" s="23"/>
    </row>
    <row r="8" spans="1:9" ht="12.75">
      <c r="A8" s="84" t="s">
        <v>221</v>
      </c>
      <c r="B8" s="77"/>
      <c r="C8" s="85" t="str">
        <f>'Stavební rozpočet'!H8</f>
        <v>Radovan Duchoň</v>
      </c>
      <c r="D8" s="77"/>
      <c r="E8" s="85" t="s">
        <v>216</v>
      </c>
      <c r="F8" s="85" t="str">
        <f>'Stavební rozpočet'!F8</f>
        <v>27.04.2019</v>
      </c>
      <c r="G8" s="77"/>
      <c r="H8" s="83"/>
      <c r="I8" s="23"/>
    </row>
    <row r="9" spans="1:9" ht="12.75">
      <c r="A9" s="87"/>
      <c r="B9" s="88"/>
      <c r="C9" s="88"/>
      <c r="D9" s="88"/>
      <c r="E9" s="88"/>
      <c r="F9" s="88"/>
      <c r="G9" s="88"/>
      <c r="H9" s="89"/>
      <c r="I9" s="23"/>
    </row>
    <row r="10" spans="1:9" ht="12.75">
      <c r="A10" s="35" t="s">
        <v>5</v>
      </c>
      <c r="B10" s="40" t="s">
        <v>277</v>
      </c>
      <c r="C10" s="40" t="s">
        <v>65</v>
      </c>
      <c r="D10" s="107" t="s">
        <v>139</v>
      </c>
      <c r="E10" s="109"/>
      <c r="F10" s="40" t="s">
        <v>226</v>
      </c>
      <c r="G10" s="41" t="s">
        <v>236</v>
      </c>
      <c r="H10" s="33" t="s">
        <v>336</v>
      </c>
      <c r="I10" s="24"/>
    </row>
    <row r="11" spans="1:8" ht="12.75">
      <c r="A11" s="12"/>
      <c r="B11" s="12"/>
      <c r="C11" s="12" t="s">
        <v>66</v>
      </c>
      <c r="D11" s="96" t="s">
        <v>141</v>
      </c>
      <c r="E11" s="97"/>
      <c r="F11" s="12"/>
      <c r="G11" s="42"/>
      <c r="H11" s="42"/>
    </row>
    <row r="12" spans="1:8" ht="12" customHeight="1">
      <c r="A12" s="4" t="s">
        <v>7</v>
      </c>
      <c r="B12" s="4"/>
      <c r="C12" s="4" t="s">
        <v>67</v>
      </c>
      <c r="D12" s="112" t="s">
        <v>282</v>
      </c>
      <c r="E12" s="113"/>
      <c r="F12" s="112"/>
      <c r="G12" s="43">
        <v>17.441</v>
      </c>
      <c r="H12" s="16">
        <v>0</v>
      </c>
    </row>
    <row r="13" spans="1:8" ht="12" customHeight="1">
      <c r="A13" s="4" t="s">
        <v>8</v>
      </c>
      <c r="B13" s="4"/>
      <c r="C13" s="4" t="s">
        <v>68</v>
      </c>
      <c r="D13" s="112" t="s">
        <v>283</v>
      </c>
      <c r="E13" s="113"/>
      <c r="F13" s="112"/>
      <c r="G13" s="43">
        <v>7.0906</v>
      </c>
      <c r="H13" s="16">
        <v>0</v>
      </c>
    </row>
    <row r="14" spans="1:8" ht="12.75">
      <c r="A14" s="4" t="s">
        <v>9</v>
      </c>
      <c r="B14" s="4"/>
      <c r="C14" s="4" t="s">
        <v>69</v>
      </c>
      <c r="D14" s="98" t="s">
        <v>144</v>
      </c>
      <c r="E14" s="99"/>
      <c r="F14" s="4" t="s">
        <v>227</v>
      </c>
      <c r="G14" s="16">
        <v>16.4481</v>
      </c>
      <c r="H14" s="16">
        <v>0</v>
      </c>
    </row>
    <row r="15" spans="1:8" ht="12.75">
      <c r="A15" s="13"/>
      <c r="B15" s="13"/>
      <c r="C15" s="13" t="s">
        <v>70</v>
      </c>
      <c r="D15" s="100" t="s">
        <v>145</v>
      </c>
      <c r="E15" s="101"/>
      <c r="F15" s="13"/>
      <c r="G15" s="25"/>
      <c r="H15" s="25"/>
    </row>
    <row r="16" spans="1:8" ht="12.75">
      <c r="A16" s="4" t="s">
        <v>10</v>
      </c>
      <c r="B16" s="4"/>
      <c r="C16" s="4" t="s">
        <v>71</v>
      </c>
      <c r="D16" s="98" t="s">
        <v>146</v>
      </c>
      <c r="E16" s="99"/>
      <c r="F16" s="4" t="s">
        <v>227</v>
      </c>
      <c r="G16" s="16">
        <v>7.09</v>
      </c>
      <c r="H16" s="16">
        <v>0</v>
      </c>
    </row>
    <row r="17" spans="1:8" ht="12.75">
      <c r="A17" s="13"/>
      <c r="B17" s="13"/>
      <c r="C17" s="13" t="s">
        <v>72</v>
      </c>
      <c r="D17" s="100" t="s">
        <v>147</v>
      </c>
      <c r="E17" s="101"/>
      <c r="F17" s="13"/>
      <c r="G17" s="25"/>
      <c r="H17" s="25"/>
    </row>
    <row r="18" spans="1:8" ht="12.75">
      <c r="A18" s="4" t="s">
        <v>11</v>
      </c>
      <c r="B18" s="4"/>
      <c r="C18" s="4" t="s">
        <v>73</v>
      </c>
      <c r="D18" s="98" t="s">
        <v>148</v>
      </c>
      <c r="E18" s="99"/>
      <c r="F18" s="4" t="s">
        <v>227</v>
      </c>
      <c r="G18" s="16">
        <v>12.144</v>
      </c>
      <c r="H18" s="16">
        <v>0</v>
      </c>
    </row>
    <row r="19" spans="4:7" ht="12" customHeight="1">
      <c r="D19" s="112" t="s">
        <v>284</v>
      </c>
      <c r="E19" s="113"/>
      <c r="F19" s="113"/>
      <c r="G19" s="43">
        <v>9.24</v>
      </c>
    </row>
    <row r="20" spans="1:8" ht="12" customHeight="1">
      <c r="A20" s="4"/>
      <c r="B20" s="4"/>
      <c r="C20" s="4"/>
      <c r="D20" s="112" t="s">
        <v>285</v>
      </c>
      <c r="E20" s="113"/>
      <c r="F20" s="112"/>
      <c r="G20" s="43">
        <v>2.662</v>
      </c>
      <c r="H20" s="27"/>
    </row>
    <row r="21" spans="1:8" ht="12" customHeight="1">
      <c r="A21" s="4"/>
      <c r="B21" s="4"/>
      <c r="C21" s="4"/>
      <c r="D21" s="112" t="s">
        <v>286</v>
      </c>
      <c r="E21" s="113"/>
      <c r="F21" s="112"/>
      <c r="G21" s="43">
        <v>0.242</v>
      </c>
      <c r="H21" s="27"/>
    </row>
    <row r="22" spans="1:8" ht="12.75">
      <c r="A22" s="4" t="s">
        <v>12</v>
      </c>
      <c r="B22" s="4"/>
      <c r="C22" s="4" t="s">
        <v>74</v>
      </c>
      <c r="D22" s="98" t="s">
        <v>149</v>
      </c>
      <c r="E22" s="99"/>
      <c r="F22" s="4" t="s">
        <v>228</v>
      </c>
      <c r="G22" s="16">
        <v>63.8774</v>
      </c>
      <c r="H22" s="16">
        <v>0</v>
      </c>
    </row>
    <row r="23" spans="1:8" ht="12.75">
      <c r="A23" s="13"/>
      <c r="B23" s="13"/>
      <c r="C23" s="13" t="s">
        <v>75</v>
      </c>
      <c r="D23" s="100" t="s">
        <v>150</v>
      </c>
      <c r="E23" s="101"/>
      <c r="F23" s="13"/>
      <c r="G23" s="25"/>
      <c r="H23" s="25"/>
    </row>
    <row r="24" spans="1:8" ht="12.75">
      <c r="A24" s="4" t="s">
        <v>13</v>
      </c>
      <c r="B24" s="4"/>
      <c r="C24" s="4" t="s">
        <v>76</v>
      </c>
      <c r="D24" s="98" t="s">
        <v>151</v>
      </c>
      <c r="E24" s="99"/>
      <c r="F24" s="4" t="s">
        <v>229</v>
      </c>
      <c r="G24" s="16">
        <v>2</v>
      </c>
      <c r="H24" s="16">
        <v>0</v>
      </c>
    </row>
    <row r="25" spans="1:8" ht="12.75">
      <c r="A25" s="4" t="s">
        <v>14</v>
      </c>
      <c r="B25" s="4"/>
      <c r="C25" s="4" t="s">
        <v>77</v>
      </c>
      <c r="D25" s="98" t="s">
        <v>152</v>
      </c>
      <c r="E25" s="99"/>
      <c r="F25" s="4" t="s">
        <v>229</v>
      </c>
      <c r="G25" s="16">
        <v>2</v>
      </c>
      <c r="H25" s="16">
        <v>0</v>
      </c>
    </row>
    <row r="26" spans="1:8" ht="12.75">
      <c r="A26" s="4" t="s">
        <v>15</v>
      </c>
      <c r="B26" s="4"/>
      <c r="C26" s="4" t="s">
        <v>78</v>
      </c>
      <c r="D26" s="98" t="s">
        <v>153</v>
      </c>
      <c r="E26" s="99"/>
      <c r="F26" s="4" t="s">
        <v>228</v>
      </c>
      <c r="G26" s="16">
        <v>29.3</v>
      </c>
      <c r="H26" s="16">
        <v>0</v>
      </c>
    </row>
    <row r="27" spans="1:8" ht="12.75">
      <c r="A27" s="13"/>
      <c r="B27" s="13"/>
      <c r="C27" s="13" t="s">
        <v>79</v>
      </c>
      <c r="D27" s="100" t="s">
        <v>154</v>
      </c>
      <c r="E27" s="101"/>
      <c r="F27" s="13"/>
      <c r="G27" s="25"/>
      <c r="H27" s="25"/>
    </row>
    <row r="28" spans="1:8" ht="12.75">
      <c r="A28" s="4" t="s">
        <v>16</v>
      </c>
      <c r="B28" s="4"/>
      <c r="C28" s="4" t="s">
        <v>80</v>
      </c>
      <c r="D28" s="98" t="s">
        <v>155</v>
      </c>
      <c r="E28" s="99"/>
      <c r="F28" s="4" t="s">
        <v>230</v>
      </c>
      <c r="G28" s="16">
        <v>3</v>
      </c>
      <c r="H28" s="16">
        <v>0</v>
      </c>
    </row>
    <row r="29" spans="1:8" ht="12.75">
      <c r="A29" s="4" t="s">
        <v>17</v>
      </c>
      <c r="B29" s="4"/>
      <c r="C29" s="4" t="s">
        <v>81</v>
      </c>
      <c r="D29" s="98" t="s">
        <v>156</v>
      </c>
      <c r="E29" s="99"/>
      <c r="F29" s="4" t="s">
        <v>230</v>
      </c>
      <c r="G29" s="16">
        <v>3</v>
      </c>
      <c r="H29" s="16">
        <v>0</v>
      </c>
    </row>
    <row r="30" spans="1:8" ht="12.75">
      <c r="A30" s="6" t="s">
        <v>18</v>
      </c>
      <c r="B30" s="6"/>
      <c r="C30" s="6" t="s">
        <v>82</v>
      </c>
      <c r="D30" s="102" t="s">
        <v>157</v>
      </c>
      <c r="E30" s="103"/>
      <c r="F30" s="6" t="s">
        <v>229</v>
      </c>
      <c r="G30" s="17">
        <v>3</v>
      </c>
      <c r="H30" s="17">
        <v>0</v>
      </c>
    </row>
    <row r="31" spans="1:8" ht="12.75">
      <c r="A31" s="6" t="s">
        <v>19</v>
      </c>
      <c r="B31" s="6"/>
      <c r="C31" s="6" t="s">
        <v>83</v>
      </c>
      <c r="D31" s="102" t="s">
        <v>158</v>
      </c>
      <c r="E31" s="103"/>
      <c r="F31" s="6" t="s">
        <v>229</v>
      </c>
      <c r="G31" s="17">
        <v>3</v>
      </c>
      <c r="H31" s="17">
        <v>0</v>
      </c>
    </row>
    <row r="32" spans="1:8" ht="12.75">
      <c r="A32" s="6" t="s">
        <v>20</v>
      </c>
      <c r="B32" s="6"/>
      <c r="C32" s="6" t="s">
        <v>84</v>
      </c>
      <c r="D32" s="102" t="s">
        <v>159</v>
      </c>
      <c r="E32" s="103"/>
      <c r="F32" s="6" t="s">
        <v>231</v>
      </c>
      <c r="G32" s="17">
        <v>3</v>
      </c>
      <c r="H32" s="17">
        <v>0</v>
      </c>
    </row>
    <row r="33" spans="1:8" ht="12.75">
      <c r="A33" s="4" t="s">
        <v>21</v>
      </c>
      <c r="B33" s="4"/>
      <c r="C33" s="4" t="s">
        <v>85</v>
      </c>
      <c r="D33" s="98" t="s">
        <v>160</v>
      </c>
      <c r="E33" s="99"/>
      <c r="F33" s="4" t="s">
        <v>230</v>
      </c>
      <c r="G33" s="16">
        <v>3</v>
      </c>
      <c r="H33" s="16">
        <v>0</v>
      </c>
    </row>
    <row r="34" spans="1:8" ht="12.75">
      <c r="A34" s="6" t="s">
        <v>22</v>
      </c>
      <c r="B34" s="6"/>
      <c r="C34" s="6" t="s">
        <v>86</v>
      </c>
      <c r="D34" s="102" t="s">
        <v>161</v>
      </c>
      <c r="E34" s="103"/>
      <c r="F34" s="6" t="s">
        <v>229</v>
      </c>
      <c r="G34" s="17">
        <v>3</v>
      </c>
      <c r="H34" s="17">
        <v>0</v>
      </c>
    </row>
    <row r="35" spans="1:8" ht="12.75">
      <c r="A35" s="4" t="s">
        <v>23</v>
      </c>
      <c r="B35" s="4"/>
      <c r="C35" s="4" t="s">
        <v>87</v>
      </c>
      <c r="D35" s="98" t="s">
        <v>162</v>
      </c>
      <c r="E35" s="99"/>
      <c r="F35" s="4" t="s">
        <v>230</v>
      </c>
      <c r="G35" s="16">
        <v>5</v>
      </c>
      <c r="H35" s="16">
        <v>0</v>
      </c>
    </row>
    <row r="36" spans="4:7" ht="12" customHeight="1">
      <c r="D36" s="112" t="s">
        <v>287</v>
      </c>
      <c r="E36" s="113"/>
      <c r="F36" s="113"/>
      <c r="G36" s="43">
        <v>0</v>
      </c>
    </row>
    <row r="37" spans="1:8" ht="12" customHeight="1">
      <c r="A37" s="4"/>
      <c r="B37" s="4"/>
      <c r="C37" s="4"/>
      <c r="D37" s="112" t="s">
        <v>288</v>
      </c>
      <c r="E37" s="113"/>
      <c r="F37" s="112"/>
      <c r="G37" s="43">
        <v>3</v>
      </c>
      <c r="H37" s="27"/>
    </row>
    <row r="38" spans="1:8" ht="12" customHeight="1">
      <c r="A38" s="4"/>
      <c r="B38" s="4"/>
      <c r="C38" s="4"/>
      <c r="D38" s="112" t="s">
        <v>289</v>
      </c>
      <c r="E38" s="113"/>
      <c r="F38" s="112"/>
      <c r="G38" s="43">
        <v>0</v>
      </c>
      <c r="H38" s="27"/>
    </row>
    <row r="39" spans="1:8" ht="12" customHeight="1">
      <c r="A39" s="4"/>
      <c r="B39" s="4"/>
      <c r="C39" s="4"/>
      <c r="D39" s="112" t="s">
        <v>290</v>
      </c>
      <c r="E39" s="113"/>
      <c r="F39" s="112"/>
      <c r="G39" s="43">
        <v>2</v>
      </c>
      <c r="H39" s="27"/>
    </row>
    <row r="40" spans="1:8" ht="12.75">
      <c r="A40" s="4" t="s">
        <v>24</v>
      </c>
      <c r="B40" s="4"/>
      <c r="C40" s="4" t="s">
        <v>88</v>
      </c>
      <c r="D40" s="98" t="s">
        <v>163</v>
      </c>
      <c r="E40" s="99"/>
      <c r="F40" s="4" t="s">
        <v>229</v>
      </c>
      <c r="G40" s="16">
        <v>3</v>
      </c>
      <c r="H40" s="16">
        <v>0</v>
      </c>
    </row>
    <row r="41" spans="1:8" ht="12.75">
      <c r="A41" s="4" t="s">
        <v>25</v>
      </c>
      <c r="B41" s="4"/>
      <c r="C41" s="4" t="s">
        <v>89</v>
      </c>
      <c r="D41" s="98" t="s">
        <v>164</v>
      </c>
      <c r="E41" s="99"/>
      <c r="F41" s="4" t="s">
        <v>229</v>
      </c>
      <c r="G41" s="16">
        <v>1</v>
      </c>
      <c r="H41" s="16">
        <v>0</v>
      </c>
    </row>
    <row r="42" spans="1:8" ht="12.75">
      <c r="A42" s="4" t="s">
        <v>26</v>
      </c>
      <c r="B42" s="4"/>
      <c r="C42" s="4" t="s">
        <v>90</v>
      </c>
      <c r="D42" s="98" t="s">
        <v>165</v>
      </c>
      <c r="E42" s="99"/>
      <c r="F42" s="4" t="s">
        <v>229</v>
      </c>
      <c r="G42" s="16">
        <v>1</v>
      </c>
      <c r="H42" s="16">
        <v>0</v>
      </c>
    </row>
    <row r="43" spans="1:8" ht="12.75">
      <c r="A43" s="6" t="s">
        <v>27</v>
      </c>
      <c r="B43" s="6"/>
      <c r="C43" s="6" t="s">
        <v>91</v>
      </c>
      <c r="D43" s="102" t="s">
        <v>166</v>
      </c>
      <c r="E43" s="103"/>
      <c r="F43" s="6" t="s">
        <v>229</v>
      </c>
      <c r="G43" s="17">
        <v>1</v>
      </c>
      <c r="H43" s="17">
        <v>0</v>
      </c>
    </row>
    <row r="44" spans="1:8" ht="12.75">
      <c r="A44" s="4" t="s">
        <v>28</v>
      </c>
      <c r="B44" s="4"/>
      <c r="C44" s="4" t="s">
        <v>92</v>
      </c>
      <c r="D44" s="98" t="s">
        <v>167</v>
      </c>
      <c r="E44" s="99"/>
      <c r="F44" s="4" t="s">
        <v>230</v>
      </c>
      <c r="G44" s="16">
        <v>0</v>
      </c>
      <c r="H44" s="16">
        <v>0</v>
      </c>
    </row>
    <row r="45" spans="1:8" ht="12.75">
      <c r="A45" s="4" t="s">
        <v>29</v>
      </c>
      <c r="B45" s="4"/>
      <c r="C45" s="4" t="s">
        <v>93</v>
      </c>
      <c r="D45" s="98" t="s">
        <v>168</v>
      </c>
      <c r="E45" s="99"/>
      <c r="F45" s="4" t="s">
        <v>230</v>
      </c>
      <c r="G45" s="16">
        <v>1</v>
      </c>
      <c r="H45" s="16">
        <v>0</v>
      </c>
    </row>
    <row r="46" spans="1:8" ht="12.75">
      <c r="A46" s="4" t="s">
        <v>30</v>
      </c>
      <c r="B46" s="4"/>
      <c r="C46" s="4" t="s">
        <v>94</v>
      </c>
      <c r="D46" s="98" t="s">
        <v>169</v>
      </c>
      <c r="E46" s="99"/>
      <c r="F46" s="4" t="s">
        <v>228</v>
      </c>
      <c r="G46" s="16">
        <v>311.095</v>
      </c>
      <c r="H46" s="16">
        <v>0</v>
      </c>
    </row>
    <row r="47" spans="1:8" ht="12.75">
      <c r="A47" s="13"/>
      <c r="B47" s="13"/>
      <c r="C47" s="13" t="s">
        <v>96</v>
      </c>
      <c r="D47" s="100" t="s">
        <v>171</v>
      </c>
      <c r="E47" s="101"/>
      <c r="F47" s="13"/>
      <c r="G47" s="25"/>
      <c r="H47" s="25"/>
    </row>
    <row r="48" spans="1:8" ht="12.75">
      <c r="A48" s="4" t="s">
        <v>31</v>
      </c>
      <c r="B48" s="4"/>
      <c r="C48" s="4" t="s">
        <v>97</v>
      </c>
      <c r="D48" s="98" t="s">
        <v>172</v>
      </c>
      <c r="E48" s="99"/>
      <c r="F48" s="4" t="s">
        <v>229</v>
      </c>
      <c r="G48" s="16">
        <v>1</v>
      </c>
      <c r="H48" s="16">
        <v>0</v>
      </c>
    </row>
    <row r="49" spans="1:8" ht="12.75">
      <c r="A49" s="4" t="s">
        <v>32</v>
      </c>
      <c r="B49" s="4"/>
      <c r="C49" s="4" t="s">
        <v>98</v>
      </c>
      <c r="D49" s="98" t="s">
        <v>173</v>
      </c>
      <c r="E49" s="99"/>
      <c r="F49" s="4" t="s">
        <v>229</v>
      </c>
      <c r="G49" s="16">
        <v>1</v>
      </c>
      <c r="H49" s="16">
        <v>0</v>
      </c>
    </row>
    <row r="50" spans="1:8" ht="12.75">
      <c r="A50" s="4" t="s">
        <v>33</v>
      </c>
      <c r="B50" s="4"/>
      <c r="C50" s="4" t="s">
        <v>99</v>
      </c>
      <c r="D50" s="98" t="s">
        <v>174</v>
      </c>
      <c r="E50" s="99"/>
      <c r="F50" s="4" t="s">
        <v>228</v>
      </c>
      <c r="G50" s="16">
        <v>2.76</v>
      </c>
      <c r="H50" s="16">
        <v>0</v>
      </c>
    </row>
    <row r="51" spans="1:8" ht="12.75">
      <c r="A51" s="13"/>
      <c r="B51" s="13"/>
      <c r="C51" s="13" t="s">
        <v>100</v>
      </c>
      <c r="D51" s="100" t="s">
        <v>175</v>
      </c>
      <c r="E51" s="101"/>
      <c r="F51" s="13"/>
      <c r="G51" s="25"/>
      <c r="H51" s="25"/>
    </row>
    <row r="52" spans="1:8" ht="12.75">
      <c r="A52" s="4" t="s">
        <v>34</v>
      </c>
      <c r="B52" s="4"/>
      <c r="C52" s="4" t="s">
        <v>101</v>
      </c>
      <c r="D52" s="98" t="s">
        <v>176</v>
      </c>
      <c r="E52" s="99"/>
      <c r="F52" s="4" t="s">
        <v>227</v>
      </c>
      <c r="G52" s="16">
        <v>7.5746</v>
      </c>
      <c r="H52" s="16">
        <v>0</v>
      </c>
    </row>
    <row r="53" spans="1:8" ht="12.75">
      <c r="A53" s="4" t="s">
        <v>35</v>
      </c>
      <c r="B53" s="4"/>
      <c r="C53" s="4" t="s">
        <v>102</v>
      </c>
      <c r="D53" s="98" t="s">
        <v>177</v>
      </c>
      <c r="E53" s="99"/>
      <c r="F53" s="4" t="s">
        <v>227</v>
      </c>
      <c r="G53" s="16">
        <v>7.5746</v>
      </c>
      <c r="H53" s="16">
        <v>0</v>
      </c>
    </row>
    <row r="54" spans="1:8" ht="12.75">
      <c r="A54" s="4" t="s">
        <v>36</v>
      </c>
      <c r="B54" s="4"/>
      <c r="C54" s="4" t="s">
        <v>103</v>
      </c>
      <c r="D54" s="98" t="s">
        <v>178</v>
      </c>
      <c r="E54" s="99"/>
      <c r="F54" s="4" t="s">
        <v>227</v>
      </c>
      <c r="G54" s="16">
        <v>7.5746</v>
      </c>
      <c r="H54" s="16">
        <v>0</v>
      </c>
    </row>
    <row r="55" spans="1:8" ht="12.75">
      <c r="A55" s="4" t="s">
        <v>37</v>
      </c>
      <c r="B55" s="4"/>
      <c r="C55" s="4" t="s">
        <v>104</v>
      </c>
      <c r="D55" s="98" t="s">
        <v>179</v>
      </c>
      <c r="E55" s="99"/>
      <c r="F55" s="4" t="s">
        <v>227</v>
      </c>
      <c r="G55" s="16">
        <v>7.5746</v>
      </c>
      <c r="H55" s="16">
        <v>0</v>
      </c>
    </row>
    <row r="56" spans="1:8" ht="12.75">
      <c r="A56" s="6" t="s">
        <v>38</v>
      </c>
      <c r="B56" s="6"/>
      <c r="C56" s="6" t="s">
        <v>105</v>
      </c>
      <c r="D56" s="102" t="s">
        <v>180</v>
      </c>
      <c r="E56" s="103"/>
      <c r="F56" s="6" t="s">
        <v>227</v>
      </c>
      <c r="G56" s="17">
        <v>8.33206</v>
      </c>
      <c r="H56" s="17">
        <v>0</v>
      </c>
    </row>
    <row r="57" spans="4:7" ht="12" customHeight="1">
      <c r="D57" s="114" t="s">
        <v>291</v>
      </c>
      <c r="E57" s="115"/>
      <c r="F57" s="115"/>
      <c r="G57" s="44">
        <v>7.5746</v>
      </c>
    </row>
    <row r="58" spans="1:8" ht="12" customHeight="1">
      <c r="A58" s="6"/>
      <c r="B58" s="6"/>
      <c r="C58" s="6"/>
      <c r="D58" s="114" t="s">
        <v>292</v>
      </c>
      <c r="E58" s="115"/>
      <c r="F58" s="114"/>
      <c r="G58" s="44">
        <v>0.75746</v>
      </c>
      <c r="H58" s="28"/>
    </row>
    <row r="59" spans="1:8" ht="12.75">
      <c r="A59" s="4" t="s">
        <v>39</v>
      </c>
      <c r="B59" s="4"/>
      <c r="C59" s="4" t="s">
        <v>106</v>
      </c>
      <c r="D59" s="98" t="s">
        <v>181</v>
      </c>
      <c r="E59" s="99"/>
      <c r="F59" s="4" t="s">
        <v>233</v>
      </c>
      <c r="G59" s="16">
        <v>4.84</v>
      </c>
      <c r="H59" s="16">
        <v>0</v>
      </c>
    </row>
    <row r="60" spans="4:7" ht="12" customHeight="1">
      <c r="D60" s="112" t="s">
        <v>293</v>
      </c>
      <c r="E60" s="113"/>
      <c r="F60" s="113"/>
      <c r="G60" s="43">
        <v>0</v>
      </c>
    </row>
    <row r="61" spans="1:8" ht="12" customHeight="1">
      <c r="A61" s="4"/>
      <c r="B61" s="4"/>
      <c r="C61" s="4"/>
      <c r="D61" s="112" t="s">
        <v>294</v>
      </c>
      <c r="E61" s="113"/>
      <c r="F61" s="112"/>
      <c r="G61" s="43">
        <v>4.84</v>
      </c>
      <c r="H61" s="27"/>
    </row>
    <row r="62" spans="1:8" ht="12.75">
      <c r="A62" s="4" t="s">
        <v>40</v>
      </c>
      <c r="B62" s="4"/>
      <c r="C62" s="4" t="s">
        <v>107</v>
      </c>
      <c r="D62" s="98" t="s">
        <v>182</v>
      </c>
      <c r="E62" s="99"/>
      <c r="F62" s="4" t="s">
        <v>228</v>
      </c>
      <c r="G62" s="16">
        <v>156.3756</v>
      </c>
      <c r="H62" s="16">
        <v>0</v>
      </c>
    </row>
    <row r="63" spans="1:8" ht="12.75">
      <c r="A63" s="13"/>
      <c r="B63" s="13"/>
      <c r="C63" s="13" t="s">
        <v>108</v>
      </c>
      <c r="D63" s="100" t="s">
        <v>183</v>
      </c>
      <c r="E63" s="101"/>
      <c r="F63" s="13"/>
      <c r="G63" s="25"/>
      <c r="H63" s="25"/>
    </row>
    <row r="64" spans="1:8" ht="12.75">
      <c r="A64" s="4" t="s">
        <v>41</v>
      </c>
      <c r="B64" s="4"/>
      <c r="C64" s="4" t="s">
        <v>109</v>
      </c>
      <c r="D64" s="98" t="s">
        <v>184</v>
      </c>
      <c r="E64" s="99"/>
      <c r="F64" s="4" t="s">
        <v>227</v>
      </c>
      <c r="G64" s="16">
        <v>19.387</v>
      </c>
      <c r="H64" s="16">
        <v>0</v>
      </c>
    </row>
    <row r="65" spans="4:7" ht="12" customHeight="1">
      <c r="D65" s="112" t="s">
        <v>295</v>
      </c>
      <c r="E65" s="113"/>
      <c r="F65" s="113"/>
      <c r="G65" s="43">
        <v>21.4</v>
      </c>
    </row>
    <row r="66" spans="1:8" ht="12" customHeight="1">
      <c r="A66" s="4"/>
      <c r="B66" s="4"/>
      <c r="C66" s="4"/>
      <c r="D66" s="112" t="s">
        <v>296</v>
      </c>
      <c r="E66" s="113"/>
      <c r="F66" s="112"/>
      <c r="G66" s="43">
        <v>-1.287</v>
      </c>
      <c r="H66" s="27"/>
    </row>
    <row r="67" spans="1:8" ht="12" customHeight="1">
      <c r="A67" s="4"/>
      <c r="B67" s="4"/>
      <c r="C67" s="4"/>
      <c r="D67" s="112" t="s">
        <v>297</v>
      </c>
      <c r="E67" s="113"/>
      <c r="F67" s="112"/>
      <c r="G67" s="43">
        <v>0.44</v>
      </c>
      <c r="H67" s="27"/>
    </row>
    <row r="68" spans="1:8" ht="12" customHeight="1">
      <c r="A68" s="4"/>
      <c r="B68" s="4"/>
      <c r="C68" s="4"/>
      <c r="D68" s="112" t="s">
        <v>298</v>
      </c>
      <c r="E68" s="113"/>
      <c r="F68" s="112"/>
      <c r="G68" s="43">
        <v>0.234</v>
      </c>
      <c r="H68" s="27"/>
    </row>
    <row r="69" spans="1:8" ht="12" customHeight="1">
      <c r="A69" s="4"/>
      <c r="B69" s="4"/>
      <c r="C69" s="4"/>
      <c r="D69" s="112" t="s">
        <v>299</v>
      </c>
      <c r="E69" s="113"/>
      <c r="F69" s="112"/>
      <c r="G69" s="43">
        <v>-2</v>
      </c>
      <c r="H69" s="27"/>
    </row>
    <row r="70" spans="1:8" ht="12" customHeight="1">
      <c r="A70" s="4"/>
      <c r="B70" s="4"/>
      <c r="C70" s="4"/>
      <c r="D70" s="112" t="s">
        <v>300</v>
      </c>
      <c r="E70" s="113"/>
      <c r="F70" s="112"/>
      <c r="G70" s="43">
        <v>0.6</v>
      </c>
      <c r="H70" s="27"/>
    </row>
    <row r="71" spans="1:8" ht="12.75">
      <c r="A71" s="6" t="s">
        <v>42</v>
      </c>
      <c r="B71" s="6"/>
      <c r="C71" s="6" t="s">
        <v>110</v>
      </c>
      <c r="D71" s="102" t="s">
        <v>185</v>
      </c>
      <c r="E71" s="103"/>
      <c r="F71" s="6" t="s">
        <v>227</v>
      </c>
      <c r="G71" s="17">
        <v>21.3257</v>
      </c>
      <c r="H71" s="17">
        <v>0</v>
      </c>
    </row>
    <row r="72" spans="4:7" ht="12" customHeight="1">
      <c r="D72" s="114" t="s">
        <v>301</v>
      </c>
      <c r="E72" s="115"/>
      <c r="F72" s="115"/>
      <c r="G72" s="44">
        <v>19.387</v>
      </c>
    </row>
    <row r="73" spans="1:8" ht="12" customHeight="1">
      <c r="A73" s="6"/>
      <c r="B73" s="6"/>
      <c r="C73" s="6"/>
      <c r="D73" s="114" t="s">
        <v>302</v>
      </c>
      <c r="E73" s="115"/>
      <c r="F73" s="114"/>
      <c r="G73" s="44">
        <v>1.9387</v>
      </c>
      <c r="H73" s="28"/>
    </row>
    <row r="74" spans="1:8" ht="12.75">
      <c r="A74" s="4" t="s">
        <v>43</v>
      </c>
      <c r="B74" s="4"/>
      <c r="C74" s="4" t="s">
        <v>111</v>
      </c>
      <c r="D74" s="98" t="s">
        <v>186</v>
      </c>
      <c r="E74" s="99"/>
      <c r="F74" s="4" t="s">
        <v>227</v>
      </c>
      <c r="G74" s="16">
        <v>19.387</v>
      </c>
      <c r="H74" s="16">
        <v>0</v>
      </c>
    </row>
    <row r="75" spans="1:8" ht="12.75">
      <c r="A75" s="4" t="s">
        <v>44</v>
      </c>
      <c r="B75" s="4"/>
      <c r="C75" s="4" t="s">
        <v>112</v>
      </c>
      <c r="D75" s="98" t="s">
        <v>187</v>
      </c>
      <c r="E75" s="99"/>
      <c r="F75" s="4" t="s">
        <v>227</v>
      </c>
      <c r="G75" s="16">
        <v>19.387</v>
      </c>
      <c r="H75" s="16">
        <v>0</v>
      </c>
    </row>
    <row r="76" spans="1:8" ht="12.75">
      <c r="A76" s="4" t="s">
        <v>45</v>
      </c>
      <c r="B76" s="4"/>
      <c r="C76" s="4" t="s">
        <v>113</v>
      </c>
      <c r="D76" s="98" t="s">
        <v>188</v>
      </c>
      <c r="E76" s="99"/>
      <c r="F76" s="4" t="s">
        <v>233</v>
      </c>
      <c r="G76" s="16">
        <v>7.37</v>
      </c>
      <c r="H76" s="16">
        <v>0</v>
      </c>
    </row>
    <row r="77" spans="4:7" ht="12" customHeight="1">
      <c r="D77" s="112" t="s">
        <v>303</v>
      </c>
      <c r="E77" s="113"/>
      <c r="F77" s="113"/>
      <c r="G77" s="43">
        <v>0</v>
      </c>
    </row>
    <row r="78" spans="1:8" ht="12" customHeight="1">
      <c r="A78" s="4"/>
      <c r="B78" s="4"/>
      <c r="C78" s="4"/>
      <c r="D78" s="112" t="s">
        <v>304</v>
      </c>
      <c r="E78" s="113"/>
      <c r="F78" s="112"/>
      <c r="G78" s="43">
        <v>4</v>
      </c>
      <c r="H78" s="27"/>
    </row>
    <row r="79" spans="1:8" ht="12" customHeight="1">
      <c r="A79" s="4"/>
      <c r="B79" s="4"/>
      <c r="C79" s="4"/>
      <c r="D79" s="112" t="s">
        <v>305</v>
      </c>
      <c r="E79" s="113"/>
      <c r="F79" s="112"/>
      <c r="G79" s="43">
        <v>0</v>
      </c>
      <c r="H79" s="27"/>
    </row>
    <row r="80" spans="1:8" ht="12" customHeight="1">
      <c r="A80" s="4"/>
      <c r="B80" s="4"/>
      <c r="C80" s="4"/>
      <c r="D80" s="112" t="s">
        <v>306</v>
      </c>
      <c r="E80" s="113"/>
      <c r="F80" s="112"/>
      <c r="G80" s="43">
        <v>3.37</v>
      </c>
      <c r="H80" s="27"/>
    </row>
    <row r="81" spans="1:8" ht="12.75">
      <c r="A81" s="4" t="s">
        <v>46</v>
      </c>
      <c r="B81" s="4"/>
      <c r="C81" s="4" t="s">
        <v>114</v>
      </c>
      <c r="D81" s="98" t="s">
        <v>189</v>
      </c>
      <c r="E81" s="99"/>
      <c r="F81" s="4" t="s">
        <v>228</v>
      </c>
      <c r="G81" s="16">
        <v>241.7885</v>
      </c>
      <c r="H81" s="16">
        <v>0</v>
      </c>
    </row>
    <row r="82" spans="1:8" ht="12.75">
      <c r="A82" s="13"/>
      <c r="B82" s="13"/>
      <c r="C82" s="13" t="s">
        <v>115</v>
      </c>
      <c r="D82" s="100" t="s">
        <v>190</v>
      </c>
      <c r="E82" s="101"/>
      <c r="F82" s="13"/>
      <c r="G82" s="25"/>
      <c r="H82" s="25"/>
    </row>
    <row r="83" spans="1:8" ht="12.75">
      <c r="A83" s="4" t="s">
        <v>47</v>
      </c>
      <c r="B83" s="4"/>
      <c r="C83" s="4" t="s">
        <v>116</v>
      </c>
      <c r="D83" s="98" t="s">
        <v>191</v>
      </c>
      <c r="E83" s="99"/>
      <c r="F83" s="4" t="s">
        <v>227</v>
      </c>
      <c r="G83" s="16">
        <v>29.4835</v>
      </c>
      <c r="H83" s="16">
        <v>0</v>
      </c>
    </row>
    <row r="84" spans="4:7" ht="12" customHeight="1">
      <c r="D84" s="112" t="s">
        <v>307</v>
      </c>
      <c r="E84" s="113"/>
      <c r="F84" s="113"/>
      <c r="G84" s="43">
        <v>0</v>
      </c>
    </row>
    <row r="85" spans="1:8" ht="12" customHeight="1">
      <c r="A85" s="4"/>
      <c r="B85" s="4"/>
      <c r="C85" s="4"/>
      <c r="D85" s="112" t="s">
        <v>283</v>
      </c>
      <c r="E85" s="113"/>
      <c r="F85" s="112"/>
      <c r="G85" s="43">
        <v>7.0906</v>
      </c>
      <c r="H85" s="27"/>
    </row>
    <row r="86" spans="1:8" ht="12" customHeight="1">
      <c r="A86" s="4"/>
      <c r="B86" s="4"/>
      <c r="C86" s="4"/>
      <c r="D86" s="112" t="s">
        <v>308</v>
      </c>
      <c r="E86" s="113"/>
      <c r="F86" s="112"/>
      <c r="G86" s="43">
        <v>0</v>
      </c>
      <c r="H86" s="27"/>
    </row>
    <row r="87" spans="1:8" ht="12" customHeight="1">
      <c r="A87" s="4"/>
      <c r="B87" s="4"/>
      <c r="C87" s="4"/>
      <c r="D87" s="112" t="s">
        <v>309</v>
      </c>
      <c r="E87" s="113"/>
      <c r="F87" s="112"/>
      <c r="G87" s="43">
        <v>38.841</v>
      </c>
      <c r="H87" s="27"/>
    </row>
    <row r="88" spans="1:8" ht="12" customHeight="1">
      <c r="A88" s="4"/>
      <c r="B88" s="4"/>
      <c r="C88" s="4"/>
      <c r="D88" s="112" t="s">
        <v>310</v>
      </c>
      <c r="E88" s="113"/>
      <c r="F88" s="112"/>
      <c r="G88" s="43">
        <v>0</v>
      </c>
      <c r="H88" s="27"/>
    </row>
    <row r="89" spans="1:8" ht="12" customHeight="1">
      <c r="A89" s="4"/>
      <c r="B89" s="4"/>
      <c r="C89" s="4"/>
      <c r="D89" s="112" t="s">
        <v>311</v>
      </c>
      <c r="E89" s="113"/>
      <c r="F89" s="112"/>
      <c r="G89" s="43">
        <v>-16.4481</v>
      </c>
      <c r="H89" s="27"/>
    </row>
    <row r="90" spans="1:8" ht="12" customHeight="1">
      <c r="A90" s="4" t="s">
        <v>48</v>
      </c>
      <c r="B90" s="4"/>
      <c r="C90" s="4" t="s">
        <v>117</v>
      </c>
      <c r="D90" s="112" t="s">
        <v>312</v>
      </c>
      <c r="E90" s="113"/>
      <c r="F90" s="112"/>
      <c r="G90" s="43">
        <v>1.6965</v>
      </c>
      <c r="H90" s="16">
        <v>0</v>
      </c>
    </row>
    <row r="91" spans="1:8" ht="12" customHeight="1">
      <c r="A91" s="4" t="s">
        <v>49</v>
      </c>
      <c r="B91" s="4"/>
      <c r="C91" s="4" t="s">
        <v>118</v>
      </c>
      <c r="D91" s="112" t="s">
        <v>313</v>
      </c>
      <c r="E91" s="113"/>
      <c r="F91" s="112"/>
      <c r="G91" s="43">
        <v>7.09</v>
      </c>
      <c r="H91" s="16">
        <v>0</v>
      </c>
    </row>
    <row r="92" spans="1:8" ht="12.75">
      <c r="A92" s="4" t="s">
        <v>50</v>
      </c>
      <c r="B92" s="4"/>
      <c r="C92" s="4" t="s">
        <v>119</v>
      </c>
      <c r="D92" s="98" t="s">
        <v>194</v>
      </c>
      <c r="E92" s="99"/>
      <c r="F92" s="4" t="s">
        <v>227</v>
      </c>
      <c r="G92" s="16">
        <v>26.5446</v>
      </c>
      <c r="H92" s="16">
        <v>0</v>
      </c>
    </row>
    <row r="93" spans="1:8" ht="12.75">
      <c r="A93" s="4" t="s">
        <v>51</v>
      </c>
      <c r="B93" s="4"/>
      <c r="C93" s="4" t="s">
        <v>120</v>
      </c>
      <c r="D93" s="98" t="s">
        <v>195</v>
      </c>
      <c r="E93" s="99"/>
      <c r="F93" s="4" t="s">
        <v>227</v>
      </c>
      <c r="G93" s="16">
        <v>26.5446</v>
      </c>
      <c r="H93" s="16">
        <v>0</v>
      </c>
    </row>
    <row r="94" spans="4:7" ht="12" customHeight="1">
      <c r="D94" s="112" t="s">
        <v>307</v>
      </c>
      <c r="E94" s="113"/>
      <c r="F94" s="113"/>
      <c r="G94" s="43">
        <v>0</v>
      </c>
    </row>
    <row r="95" spans="1:8" ht="12" customHeight="1">
      <c r="A95" s="4"/>
      <c r="B95" s="4"/>
      <c r="C95" s="4"/>
      <c r="D95" s="112" t="s">
        <v>283</v>
      </c>
      <c r="E95" s="113"/>
      <c r="F95" s="112"/>
      <c r="G95" s="43">
        <v>7.0906</v>
      </c>
      <c r="H95" s="27"/>
    </row>
    <row r="96" spans="1:8" ht="12" customHeight="1">
      <c r="A96" s="4"/>
      <c r="B96" s="4"/>
      <c r="C96" s="4"/>
      <c r="D96" s="112" t="s">
        <v>308</v>
      </c>
      <c r="E96" s="113"/>
      <c r="F96" s="112"/>
      <c r="G96" s="43">
        <v>0</v>
      </c>
      <c r="H96" s="27"/>
    </row>
    <row r="97" spans="1:8" ht="12" customHeight="1">
      <c r="A97" s="4"/>
      <c r="B97" s="4"/>
      <c r="C97" s="4"/>
      <c r="D97" s="112" t="s">
        <v>309</v>
      </c>
      <c r="E97" s="113"/>
      <c r="F97" s="112"/>
      <c r="G97" s="43">
        <v>38.841</v>
      </c>
      <c r="H97" s="27"/>
    </row>
    <row r="98" spans="1:8" ht="12" customHeight="1">
      <c r="A98" s="4"/>
      <c r="B98" s="4"/>
      <c r="C98" s="4"/>
      <c r="D98" s="112" t="s">
        <v>310</v>
      </c>
      <c r="E98" s="113"/>
      <c r="F98" s="112"/>
      <c r="G98" s="43">
        <v>0</v>
      </c>
      <c r="H98" s="27"/>
    </row>
    <row r="99" spans="1:8" ht="12" customHeight="1">
      <c r="A99" s="4"/>
      <c r="B99" s="4"/>
      <c r="C99" s="4"/>
      <c r="D99" s="112" t="s">
        <v>314</v>
      </c>
      <c r="E99" s="113"/>
      <c r="F99" s="112"/>
      <c r="G99" s="43">
        <v>-19.387</v>
      </c>
      <c r="H99" s="27"/>
    </row>
    <row r="100" spans="1:8" ht="12.75">
      <c r="A100" s="13"/>
      <c r="B100" s="13"/>
      <c r="C100" s="13" t="s">
        <v>121</v>
      </c>
      <c r="D100" s="100" t="s">
        <v>196</v>
      </c>
      <c r="E100" s="101"/>
      <c r="F100" s="13"/>
      <c r="G100" s="25"/>
      <c r="H100" s="25"/>
    </row>
    <row r="101" spans="1:8" ht="12" customHeight="1">
      <c r="A101" s="4" t="s">
        <v>52</v>
      </c>
      <c r="B101" s="4"/>
      <c r="C101" s="4" t="s">
        <v>122</v>
      </c>
      <c r="D101" s="112" t="s">
        <v>313</v>
      </c>
      <c r="E101" s="113"/>
      <c r="F101" s="112"/>
      <c r="G101" s="43">
        <v>7.09</v>
      </c>
      <c r="H101" s="16">
        <v>0</v>
      </c>
    </row>
    <row r="102" spans="1:8" ht="12.75">
      <c r="A102" s="13"/>
      <c r="B102" s="13"/>
      <c r="C102" s="13" t="s">
        <v>123</v>
      </c>
      <c r="D102" s="100" t="s">
        <v>198</v>
      </c>
      <c r="E102" s="101"/>
      <c r="F102" s="13"/>
      <c r="G102" s="25"/>
      <c r="H102" s="25"/>
    </row>
    <row r="103" spans="1:8" ht="12.75">
      <c r="A103" s="4" t="s">
        <v>53</v>
      </c>
      <c r="B103" s="4"/>
      <c r="C103" s="4" t="s">
        <v>124</v>
      </c>
      <c r="D103" s="98" t="s">
        <v>199</v>
      </c>
      <c r="E103" s="99"/>
      <c r="F103" s="4" t="s">
        <v>227</v>
      </c>
      <c r="G103" s="16">
        <v>7.5746</v>
      </c>
      <c r="H103" s="16">
        <v>0</v>
      </c>
    </row>
    <row r="104" spans="4:7" ht="12" customHeight="1">
      <c r="D104" s="112" t="s">
        <v>283</v>
      </c>
      <c r="E104" s="113"/>
      <c r="F104" s="113"/>
      <c r="G104" s="43">
        <v>7.0906</v>
      </c>
    </row>
    <row r="105" spans="1:8" ht="12" customHeight="1">
      <c r="A105" s="4"/>
      <c r="B105" s="4"/>
      <c r="C105" s="4"/>
      <c r="D105" s="112" t="s">
        <v>315</v>
      </c>
      <c r="E105" s="113"/>
      <c r="F105" s="112"/>
      <c r="G105" s="43">
        <v>0.484</v>
      </c>
      <c r="H105" s="27"/>
    </row>
    <row r="106" spans="1:8" ht="12" customHeight="1">
      <c r="A106" s="4" t="s">
        <v>54</v>
      </c>
      <c r="B106" s="4"/>
      <c r="C106" s="4" t="s">
        <v>125</v>
      </c>
      <c r="D106" s="112" t="s">
        <v>316</v>
      </c>
      <c r="E106" s="113"/>
      <c r="F106" s="112"/>
      <c r="G106" s="43">
        <v>0.3545</v>
      </c>
      <c r="H106" s="16">
        <v>0</v>
      </c>
    </row>
    <row r="107" spans="1:8" ht="12.75">
      <c r="A107" s="13"/>
      <c r="B107" s="13"/>
      <c r="C107" s="13" t="s">
        <v>126</v>
      </c>
      <c r="D107" s="100" t="s">
        <v>201</v>
      </c>
      <c r="E107" s="101"/>
      <c r="F107" s="13"/>
      <c r="G107" s="25"/>
      <c r="H107" s="25"/>
    </row>
    <row r="108" spans="1:8" ht="12.75">
      <c r="A108" s="4" t="s">
        <v>55</v>
      </c>
      <c r="B108" s="4"/>
      <c r="C108" s="4" t="s">
        <v>127</v>
      </c>
      <c r="D108" s="98" t="s">
        <v>202</v>
      </c>
      <c r="E108" s="99"/>
      <c r="F108" s="4" t="s">
        <v>227</v>
      </c>
      <c r="G108" s="16">
        <v>16.4481</v>
      </c>
      <c r="H108" s="16">
        <v>0</v>
      </c>
    </row>
    <row r="109" spans="4:7" ht="12" customHeight="1">
      <c r="D109" s="112" t="s">
        <v>317</v>
      </c>
      <c r="E109" s="113"/>
      <c r="F109" s="113"/>
      <c r="G109" s="43">
        <v>0</v>
      </c>
    </row>
    <row r="110" spans="1:8" ht="12" customHeight="1">
      <c r="A110" s="4"/>
      <c r="B110" s="4"/>
      <c r="C110" s="4"/>
      <c r="D110" s="112" t="s">
        <v>318</v>
      </c>
      <c r="E110" s="113"/>
      <c r="F110" s="112"/>
      <c r="G110" s="43">
        <v>3.025</v>
      </c>
      <c r="H110" s="27"/>
    </row>
    <row r="111" spans="1:8" ht="12" customHeight="1">
      <c r="A111" s="4"/>
      <c r="B111" s="4"/>
      <c r="C111" s="4"/>
      <c r="D111" s="112" t="s">
        <v>319</v>
      </c>
      <c r="E111" s="113"/>
      <c r="F111" s="112"/>
      <c r="G111" s="43">
        <v>1.125</v>
      </c>
      <c r="H111" s="27"/>
    </row>
    <row r="112" spans="1:8" ht="12" customHeight="1">
      <c r="A112" s="4"/>
      <c r="B112" s="4"/>
      <c r="C112" s="4"/>
      <c r="D112" s="112" t="s">
        <v>320</v>
      </c>
      <c r="E112" s="113"/>
      <c r="F112" s="112"/>
      <c r="G112" s="43">
        <v>0.1875</v>
      </c>
      <c r="H112" s="27"/>
    </row>
    <row r="113" spans="1:8" ht="12" customHeight="1">
      <c r="A113" s="4"/>
      <c r="B113" s="4"/>
      <c r="C113" s="4"/>
      <c r="D113" s="112" t="s">
        <v>305</v>
      </c>
      <c r="E113" s="113"/>
      <c r="F113" s="112"/>
      <c r="G113" s="43">
        <v>0</v>
      </c>
      <c r="H113" s="27"/>
    </row>
    <row r="114" spans="1:8" ht="12" customHeight="1">
      <c r="A114" s="4"/>
      <c r="B114" s="4"/>
      <c r="C114" s="4"/>
      <c r="D114" s="112" t="s">
        <v>321</v>
      </c>
      <c r="E114" s="113"/>
      <c r="F114" s="112"/>
      <c r="G114" s="43">
        <v>1.053</v>
      </c>
      <c r="H114" s="27"/>
    </row>
    <row r="115" spans="1:8" ht="12" customHeight="1">
      <c r="A115" s="4"/>
      <c r="B115" s="4"/>
      <c r="C115" s="4"/>
      <c r="D115" s="112" t="s">
        <v>322</v>
      </c>
      <c r="E115" s="113"/>
      <c r="F115" s="112"/>
      <c r="G115" s="43">
        <v>0.07</v>
      </c>
      <c r="H115" s="27"/>
    </row>
    <row r="116" spans="1:8" ht="12" customHeight="1">
      <c r="A116" s="4"/>
      <c r="B116" s="4"/>
      <c r="C116" s="4"/>
      <c r="D116" s="112" t="s">
        <v>323</v>
      </c>
      <c r="E116" s="113"/>
      <c r="F116" s="112"/>
      <c r="G116" s="43">
        <v>0.22</v>
      </c>
      <c r="H116" s="27"/>
    </row>
    <row r="117" spans="1:8" ht="12" customHeight="1">
      <c r="A117" s="4"/>
      <c r="B117" s="4"/>
      <c r="C117" s="4"/>
      <c r="D117" s="112" t="s">
        <v>298</v>
      </c>
      <c r="E117" s="113"/>
      <c r="F117" s="112"/>
      <c r="G117" s="43">
        <v>0.234</v>
      </c>
      <c r="H117" s="27"/>
    </row>
    <row r="118" spans="1:8" ht="12" customHeight="1">
      <c r="A118" s="4"/>
      <c r="B118" s="4"/>
      <c r="C118" s="4"/>
      <c r="D118" s="112" t="s">
        <v>324</v>
      </c>
      <c r="E118" s="113"/>
      <c r="F118" s="112"/>
      <c r="G118" s="43">
        <v>0</v>
      </c>
      <c r="H118" s="27"/>
    </row>
    <row r="119" spans="1:8" ht="12" customHeight="1">
      <c r="A119" s="4"/>
      <c r="B119" s="4"/>
      <c r="C119" s="4"/>
      <c r="D119" s="112" t="s">
        <v>325</v>
      </c>
      <c r="E119" s="113"/>
      <c r="F119" s="112"/>
      <c r="G119" s="43">
        <v>10.5336</v>
      </c>
      <c r="H119" s="27"/>
    </row>
    <row r="120" spans="1:8" ht="12.75">
      <c r="A120" s="13"/>
      <c r="B120" s="13"/>
      <c r="C120" s="13" t="s">
        <v>128</v>
      </c>
      <c r="D120" s="100" t="s">
        <v>203</v>
      </c>
      <c r="E120" s="101"/>
      <c r="F120" s="13"/>
      <c r="G120" s="25"/>
      <c r="H120" s="25"/>
    </row>
    <row r="121" spans="1:8" ht="12.75">
      <c r="A121" s="4" t="s">
        <v>56</v>
      </c>
      <c r="B121" s="4"/>
      <c r="C121" s="4" t="s">
        <v>129</v>
      </c>
      <c r="D121" s="98" t="s">
        <v>204</v>
      </c>
      <c r="E121" s="99"/>
      <c r="F121" s="4" t="s">
        <v>235</v>
      </c>
      <c r="G121" s="16">
        <v>1.0203</v>
      </c>
      <c r="H121" s="16">
        <v>0</v>
      </c>
    </row>
    <row r="122" spans="4:7" ht="12" customHeight="1">
      <c r="D122" s="112" t="s">
        <v>326</v>
      </c>
      <c r="E122" s="113"/>
      <c r="F122" s="113"/>
      <c r="G122" s="43">
        <v>0.3467</v>
      </c>
    </row>
    <row r="123" spans="1:8" ht="12" customHeight="1">
      <c r="A123" s="4"/>
      <c r="B123" s="4"/>
      <c r="C123" s="4"/>
      <c r="D123" s="112" t="s">
        <v>327</v>
      </c>
      <c r="E123" s="113"/>
      <c r="F123" s="112"/>
      <c r="G123" s="43">
        <v>0.6736</v>
      </c>
      <c r="H123" s="27"/>
    </row>
    <row r="124" spans="1:8" ht="12.75">
      <c r="A124" s="13"/>
      <c r="B124" s="13"/>
      <c r="C124" s="13" t="s">
        <v>132</v>
      </c>
      <c r="D124" s="100" t="s">
        <v>207</v>
      </c>
      <c r="E124" s="101"/>
      <c r="F124" s="13"/>
      <c r="G124" s="25"/>
      <c r="H124" s="25"/>
    </row>
    <row r="125" spans="1:8" ht="12.75">
      <c r="A125" s="4" t="s">
        <v>57</v>
      </c>
      <c r="B125" s="4"/>
      <c r="C125" s="4" t="s">
        <v>133</v>
      </c>
      <c r="D125" s="98" t="s">
        <v>208</v>
      </c>
      <c r="E125" s="99"/>
      <c r="F125" s="4" t="s">
        <v>235</v>
      </c>
      <c r="G125" s="16">
        <v>2.1574</v>
      </c>
      <c r="H125" s="16">
        <v>0</v>
      </c>
    </row>
    <row r="126" spans="4:7" ht="12" customHeight="1">
      <c r="D126" s="112" t="s">
        <v>328</v>
      </c>
      <c r="E126" s="113"/>
      <c r="F126" s="113"/>
      <c r="G126" s="43">
        <v>0.0413</v>
      </c>
    </row>
    <row r="127" spans="1:8" ht="12" customHeight="1">
      <c r="A127" s="4"/>
      <c r="B127" s="4"/>
      <c r="C127" s="4"/>
      <c r="D127" s="112" t="s">
        <v>329</v>
      </c>
      <c r="E127" s="113"/>
      <c r="F127" s="112"/>
      <c r="G127" s="43">
        <v>0.0584</v>
      </c>
      <c r="H127" s="27"/>
    </row>
    <row r="128" spans="1:8" ht="12" customHeight="1">
      <c r="A128" s="4"/>
      <c r="B128" s="4"/>
      <c r="C128" s="4"/>
      <c r="D128" s="112" t="s">
        <v>330</v>
      </c>
      <c r="E128" s="113"/>
      <c r="F128" s="112"/>
      <c r="G128" s="43">
        <v>0.0078</v>
      </c>
      <c r="H128" s="27"/>
    </row>
    <row r="129" spans="1:8" ht="12" customHeight="1">
      <c r="A129" s="4"/>
      <c r="B129" s="4"/>
      <c r="C129" s="4"/>
      <c r="D129" s="112" t="s">
        <v>331</v>
      </c>
      <c r="E129" s="113"/>
      <c r="F129" s="112"/>
      <c r="G129" s="43">
        <v>0.9314</v>
      </c>
      <c r="H129" s="27"/>
    </row>
    <row r="130" spans="1:8" ht="12" customHeight="1">
      <c r="A130" s="4"/>
      <c r="B130" s="4"/>
      <c r="C130" s="4"/>
      <c r="D130" s="112" t="s">
        <v>332</v>
      </c>
      <c r="E130" s="113"/>
      <c r="F130" s="112"/>
      <c r="G130" s="43">
        <v>1.1185</v>
      </c>
      <c r="H130" s="27"/>
    </row>
    <row r="131" spans="1:8" ht="12" customHeight="1">
      <c r="A131" s="4" t="s">
        <v>58</v>
      </c>
      <c r="B131" s="4"/>
      <c r="C131" s="4" t="s">
        <v>134</v>
      </c>
      <c r="D131" s="112" t="s">
        <v>333</v>
      </c>
      <c r="E131" s="113"/>
      <c r="F131" s="112"/>
      <c r="G131" s="43">
        <v>30.2036</v>
      </c>
      <c r="H131" s="16">
        <v>0</v>
      </c>
    </row>
    <row r="132" spans="1:8" ht="12.75">
      <c r="A132" s="4" t="s">
        <v>59</v>
      </c>
      <c r="B132" s="4"/>
      <c r="C132" s="4" t="s">
        <v>135</v>
      </c>
      <c r="D132" s="98" t="s">
        <v>210</v>
      </c>
      <c r="E132" s="99"/>
      <c r="F132" s="4" t="s">
        <v>235</v>
      </c>
      <c r="G132" s="16">
        <v>2.1574</v>
      </c>
      <c r="H132" s="16">
        <v>0</v>
      </c>
    </row>
    <row r="133" spans="1:8" ht="12" customHeight="1">
      <c r="A133" s="4" t="s">
        <v>60</v>
      </c>
      <c r="B133" s="4"/>
      <c r="C133" s="4" t="s">
        <v>136</v>
      </c>
      <c r="D133" s="112" t="s">
        <v>334</v>
      </c>
      <c r="E133" s="113"/>
      <c r="F133" s="112"/>
      <c r="G133" s="43">
        <v>4.3148</v>
      </c>
      <c r="H133" s="16">
        <v>0</v>
      </c>
    </row>
    <row r="134" spans="1:8" ht="12" customHeight="1">
      <c r="A134" s="4" t="s">
        <v>61</v>
      </c>
      <c r="B134" s="4"/>
      <c r="C134" s="4" t="s">
        <v>137</v>
      </c>
      <c r="D134" s="112" t="s">
        <v>335</v>
      </c>
      <c r="E134" s="113"/>
      <c r="F134" s="112"/>
      <c r="G134" s="43">
        <v>2.1574</v>
      </c>
      <c r="H134" s="16">
        <v>0</v>
      </c>
    </row>
    <row r="136" ht="11.25" customHeight="1">
      <c r="A136" s="9" t="s">
        <v>64</v>
      </c>
    </row>
    <row r="137" spans="1:7" ht="12.75">
      <c r="A137" s="85"/>
      <c r="B137" s="77"/>
      <c r="C137" s="77"/>
      <c r="D137" s="77"/>
      <c r="E137" s="77"/>
      <c r="F137" s="77"/>
      <c r="G137" s="77"/>
    </row>
  </sheetData>
  <sheetProtection/>
  <mergeCells count="143">
    <mergeCell ref="D130:F130"/>
    <mergeCell ref="D131:F131"/>
    <mergeCell ref="D132:E132"/>
    <mergeCell ref="D133:F133"/>
    <mergeCell ref="D134:F134"/>
    <mergeCell ref="A137:G137"/>
    <mergeCell ref="D124:E124"/>
    <mergeCell ref="D125:E125"/>
    <mergeCell ref="D126:F126"/>
    <mergeCell ref="D127:F127"/>
    <mergeCell ref="D128:F128"/>
    <mergeCell ref="D129:F129"/>
    <mergeCell ref="D118:F118"/>
    <mergeCell ref="D119:F119"/>
    <mergeCell ref="D120:E120"/>
    <mergeCell ref="D121:E121"/>
    <mergeCell ref="D122:F122"/>
    <mergeCell ref="D123:F123"/>
    <mergeCell ref="D112:F112"/>
    <mergeCell ref="D113:F113"/>
    <mergeCell ref="D114:F114"/>
    <mergeCell ref="D115:F115"/>
    <mergeCell ref="D116:F116"/>
    <mergeCell ref="D117:F117"/>
    <mergeCell ref="D106:F106"/>
    <mergeCell ref="D107:E107"/>
    <mergeCell ref="D108:E108"/>
    <mergeCell ref="D109:F109"/>
    <mergeCell ref="D110:F110"/>
    <mergeCell ref="D111:F111"/>
    <mergeCell ref="D100:E100"/>
    <mergeCell ref="D101:F101"/>
    <mergeCell ref="D102:E102"/>
    <mergeCell ref="D103:E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D90:F90"/>
    <mergeCell ref="D91:F91"/>
    <mergeCell ref="D92:E92"/>
    <mergeCell ref="D93:E93"/>
    <mergeCell ref="D82:E82"/>
    <mergeCell ref="D83:E83"/>
    <mergeCell ref="D84:F84"/>
    <mergeCell ref="D85:F85"/>
    <mergeCell ref="D86:F86"/>
    <mergeCell ref="D87:F87"/>
    <mergeCell ref="D76:E76"/>
    <mergeCell ref="D77:F77"/>
    <mergeCell ref="D78:F78"/>
    <mergeCell ref="D79:F79"/>
    <mergeCell ref="D80:F80"/>
    <mergeCell ref="D81:E81"/>
    <mergeCell ref="D70:F70"/>
    <mergeCell ref="D71:E71"/>
    <mergeCell ref="D72:F72"/>
    <mergeCell ref="D73:F73"/>
    <mergeCell ref="D74:E74"/>
    <mergeCell ref="D75:E75"/>
    <mergeCell ref="D64:E64"/>
    <mergeCell ref="D65:F65"/>
    <mergeCell ref="D66:F66"/>
    <mergeCell ref="D67:F67"/>
    <mergeCell ref="D68:F68"/>
    <mergeCell ref="D69:F69"/>
    <mergeCell ref="D58:F58"/>
    <mergeCell ref="D59:E59"/>
    <mergeCell ref="D60:F60"/>
    <mergeCell ref="D61:F61"/>
    <mergeCell ref="D62:E62"/>
    <mergeCell ref="D63:E63"/>
    <mergeCell ref="D52:E52"/>
    <mergeCell ref="D53:E53"/>
    <mergeCell ref="D54:E54"/>
    <mergeCell ref="D55:E55"/>
    <mergeCell ref="D56:E56"/>
    <mergeCell ref="D57:F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F36"/>
    <mergeCell ref="D37:F37"/>
    <mergeCell ref="D38:F38"/>
    <mergeCell ref="D39:F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F19"/>
    <mergeCell ref="D20:F20"/>
    <mergeCell ref="D21:F21"/>
    <mergeCell ref="D10:E10"/>
    <mergeCell ref="D11:E11"/>
    <mergeCell ref="D12:F12"/>
    <mergeCell ref="D13:F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1"/>
      <c r="B1" s="45"/>
      <c r="C1" s="116" t="s">
        <v>353</v>
      </c>
      <c r="D1" s="73"/>
      <c r="E1" s="73"/>
      <c r="F1" s="73"/>
      <c r="G1" s="73"/>
      <c r="H1" s="73"/>
      <c r="I1" s="73"/>
    </row>
    <row r="2" spans="1:10" ht="12.75">
      <c r="A2" s="74" t="s">
        <v>1</v>
      </c>
      <c r="B2" s="75"/>
      <c r="C2" s="78" t="str">
        <f>'Stavební rozpočet'!C2</f>
        <v>OPRAVA SPRCH A VÝMĚNA UMYVADEL V SDH DRUŽSTEVNÍ</v>
      </c>
      <c r="D2" s="106"/>
      <c r="E2" s="81" t="s">
        <v>218</v>
      </c>
      <c r="F2" s="81" t="str">
        <f>'Stavební rozpočet'!H2</f>
        <v>Město Studénka</v>
      </c>
      <c r="G2" s="75"/>
      <c r="H2" s="81" t="s">
        <v>378</v>
      </c>
      <c r="I2" s="117" t="s">
        <v>382</v>
      </c>
      <c r="J2" s="23"/>
    </row>
    <row r="3" spans="1:10" ht="12.75">
      <c r="A3" s="76"/>
      <c r="B3" s="77"/>
      <c r="C3" s="79"/>
      <c r="D3" s="79"/>
      <c r="E3" s="77"/>
      <c r="F3" s="77"/>
      <c r="G3" s="77"/>
      <c r="H3" s="77"/>
      <c r="I3" s="83"/>
      <c r="J3" s="23"/>
    </row>
    <row r="4" spans="1:10" ht="12.75">
      <c r="A4" s="84" t="s">
        <v>2</v>
      </c>
      <c r="B4" s="77"/>
      <c r="C4" s="85" t="str">
        <f>'Stavební rozpočet'!C4</f>
        <v> </v>
      </c>
      <c r="D4" s="77"/>
      <c r="E4" s="85" t="s">
        <v>219</v>
      </c>
      <c r="F4" s="85" t="str">
        <f>'Stavební rozpočet'!H4</f>
        <v>Renata Škopová</v>
      </c>
      <c r="G4" s="77"/>
      <c r="H4" s="85" t="s">
        <v>378</v>
      </c>
      <c r="I4" s="118" t="s">
        <v>383</v>
      </c>
      <c r="J4" s="23"/>
    </row>
    <row r="5" spans="1:10" ht="12.75">
      <c r="A5" s="76"/>
      <c r="B5" s="77"/>
      <c r="C5" s="77"/>
      <c r="D5" s="77"/>
      <c r="E5" s="77"/>
      <c r="F5" s="77"/>
      <c r="G5" s="77"/>
      <c r="H5" s="77"/>
      <c r="I5" s="83"/>
      <c r="J5" s="23"/>
    </row>
    <row r="6" spans="1:10" ht="12.75">
      <c r="A6" s="84" t="s">
        <v>3</v>
      </c>
      <c r="B6" s="77"/>
      <c r="C6" s="85" t="str">
        <f>'Stavební rozpočet'!C6</f>
        <v> </v>
      </c>
      <c r="D6" s="77"/>
      <c r="E6" s="85" t="s">
        <v>220</v>
      </c>
      <c r="F6" s="85" t="str">
        <f>'Stavební rozpočet'!H6</f>
        <v> </v>
      </c>
      <c r="G6" s="77"/>
      <c r="H6" s="85" t="s">
        <v>378</v>
      </c>
      <c r="I6" s="118"/>
      <c r="J6" s="23"/>
    </row>
    <row r="7" spans="1:10" ht="12.75">
      <c r="A7" s="76"/>
      <c r="B7" s="77"/>
      <c r="C7" s="77"/>
      <c r="D7" s="77"/>
      <c r="E7" s="77"/>
      <c r="F7" s="77"/>
      <c r="G7" s="77"/>
      <c r="H7" s="77"/>
      <c r="I7" s="83"/>
      <c r="J7" s="23"/>
    </row>
    <row r="8" spans="1:10" ht="12.75">
      <c r="A8" s="84" t="s">
        <v>214</v>
      </c>
      <c r="B8" s="77"/>
      <c r="C8" s="85" t="str">
        <f>'Stavební rozpočet'!F4</f>
        <v> </v>
      </c>
      <c r="D8" s="77"/>
      <c r="E8" s="85" t="s">
        <v>215</v>
      </c>
      <c r="F8" s="85" t="str">
        <f>'Stavební rozpočet'!F6</f>
        <v> </v>
      </c>
      <c r="G8" s="77"/>
      <c r="H8" s="86" t="s">
        <v>379</v>
      </c>
      <c r="I8" s="118" t="s">
        <v>63</v>
      </c>
      <c r="J8" s="23"/>
    </row>
    <row r="9" spans="1:10" ht="12.75">
      <c r="A9" s="76"/>
      <c r="B9" s="77"/>
      <c r="C9" s="77"/>
      <c r="D9" s="77"/>
      <c r="E9" s="77"/>
      <c r="F9" s="77"/>
      <c r="G9" s="77"/>
      <c r="H9" s="77"/>
      <c r="I9" s="83"/>
      <c r="J9" s="23"/>
    </row>
    <row r="10" spans="1:10" ht="12.75">
      <c r="A10" s="84" t="s">
        <v>4</v>
      </c>
      <c r="B10" s="77"/>
      <c r="C10" s="85" t="str">
        <f>'Stavební rozpočet'!C8</f>
        <v> </v>
      </c>
      <c r="D10" s="77"/>
      <c r="E10" s="85" t="s">
        <v>221</v>
      </c>
      <c r="F10" s="85" t="str">
        <f>'Stavební rozpočet'!H8</f>
        <v>Radovan Duchoň</v>
      </c>
      <c r="G10" s="77"/>
      <c r="H10" s="86" t="s">
        <v>380</v>
      </c>
      <c r="I10" s="121" t="str">
        <f>'Stavební rozpočet'!F8</f>
        <v>27.04.2019</v>
      </c>
      <c r="J10" s="23"/>
    </row>
    <row r="11" spans="1:10" ht="12.75">
      <c r="A11" s="119"/>
      <c r="B11" s="120"/>
      <c r="C11" s="120"/>
      <c r="D11" s="120"/>
      <c r="E11" s="120"/>
      <c r="F11" s="120"/>
      <c r="G11" s="120"/>
      <c r="H11" s="120"/>
      <c r="I11" s="122"/>
      <c r="J11" s="23"/>
    </row>
    <row r="12" spans="1:9" ht="23.25" customHeight="1">
      <c r="A12" s="123" t="s">
        <v>337</v>
      </c>
      <c r="B12" s="124"/>
      <c r="C12" s="124"/>
      <c r="D12" s="124"/>
      <c r="E12" s="124"/>
      <c r="F12" s="124"/>
      <c r="G12" s="124"/>
      <c r="H12" s="124"/>
      <c r="I12" s="124"/>
    </row>
    <row r="13" spans="1:10" ht="26.25" customHeight="1">
      <c r="A13" s="46" t="s">
        <v>338</v>
      </c>
      <c r="B13" s="125" t="s">
        <v>350</v>
      </c>
      <c r="C13" s="126"/>
      <c r="D13" s="46" t="s">
        <v>354</v>
      </c>
      <c r="E13" s="125" t="s">
        <v>363</v>
      </c>
      <c r="F13" s="126"/>
      <c r="G13" s="46" t="s">
        <v>364</v>
      </c>
      <c r="H13" s="125" t="s">
        <v>381</v>
      </c>
      <c r="I13" s="126"/>
      <c r="J13" s="23"/>
    </row>
    <row r="14" spans="1:10" ht="15" customHeight="1">
      <c r="A14" s="47" t="s">
        <v>339</v>
      </c>
      <c r="B14" s="51" t="s">
        <v>351</v>
      </c>
      <c r="C14" s="55">
        <f>SUM('Stavební rozpočet'!AB12:AB83)</f>
        <v>0</v>
      </c>
      <c r="D14" s="127" t="s">
        <v>355</v>
      </c>
      <c r="E14" s="128"/>
      <c r="F14" s="55">
        <f>VORN!I15</f>
        <v>0</v>
      </c>
      <c r="G14" s="127" t="s">
        <v>365</v>
      </c>
      <c r="H14" s="128"/>
      <c r="I14" s="55">
        <f>VORN!I21</f>
        <v>0</v>
      </c>
      <c r="J14" s="23"/>
    </row>
    <row r="15" spans="1:10" ht="15" customHeight="1">
      <c r="A15" s="48"/>
      <c r="B15" s="51" t="s">
        <v>352</v>
      </c>
      <c r="C15" s="55">
        <f>SUM('Stavební rozpočet'!AC12:AC83)</f>
        <v>0</v>
      </c>
      <c r="D15" s="127" t="s">
        <v>356</v>
      </c>
      <c r="E15" s="128"/>
      <c r="F15" s="55">
        <f>VORN!I16</f>
        <v>0</v>
      </c>
      <c r="G15" s="127" t="s">
        <v>366</v>
      </c>
      <c r="H15" s="128"/>
      <c r="I15" s="55">
        <f>VORN!I22</f>
        <v>0</v>
      </c>
      <c r="J15" s="23"/>
    </row>
    <row r="16" spans="1:10" ht="15" customHeight="1">
      <c r="A16" s="47" t="s">
        <v>340</v>
      </c>
      <c r="B16" s="51" t="s">
        <v>351</v>
      </c>
      <c r="C16" s="55">
        <f>SUM('Stavební rozpočet'!AD12:AD83)</f>
        <v>0</v>
      </c>
      <c r="D16" s="127" t="s">
        <v>357</v>
      </c>
      <c r="E16" s="128"/>
      <c r="F16" s="55">
        <f>VORN!I17</f>
        <v>0</v>
      </c>
      <c r="G16" s="127" t="s">
        <v>367</v>
      </c>
      <c r="H16" s="128"/>
      <c r="I16" s="55">
        <f>VORN!I23</f>
        <v>0</v>
      </c>
      <c r="J16" s="23"/>
    </row>
    <row r="17" spans="1:10" ht="15" customHeight="1">
      <c r="A17" s="48"/>
      <c r="B17" s="51" t="s">
        <v>352</v>
      </c>
      <c r="C17" s="55">
        <f>SUM('Stavební rozpočet'!AE12:AE83)</f>
        <v>0</v>
      </c>
      <c r="D17" s="127"/>
      <c r="E17" s="128"/>
      <c r="F17" s="56"/>
      <c r="G17" s="127" t="s">
        <v>368</v>
      </c>
      <c r="H17" s="128"/>
      <c r="I17" s="55">
        <f>VORN!I24</f>
        <v>0</v>
      </c>
      <c r="J17" s="23"/>
    </row>
    <row r="18" spans="1:10" ht="15" customHeight="1">
      <c r="A18" s="47" t="s">
        <v>341</v>
      </c>
      <c r="B18" s="51" t="s">
        <v>351</v>
      </c>
      <c r="C18" s="55">
        <f>SUM('Stavební rozpočet'!AF12:AF83)</f>
        <v>0</v>
      </c>
      <c r="D18" s="127"/>
      <c r="E18" s="128"/>
      <c r="F18" s="56"/>
      <c r="G18" s="127" t="s">
        <v>369</v>
      </c>
      <c r="H18" s="128"/>
      <c r="I18" s="55">
        <f>VORN!I25</f>
        <v>0</v>
      </c>
      <c r="J18" s="23"/>
    </row>
    <row r="19" spans="1:10" ht="15" customHeight="1">
      <c r="A19" s="48"/>
      <c r="B19" s="51" t="s">
        <v>352</v>
      </c>
      <c r="C19" s="55">
        <f>SUM('Stavební rozpočet'!AG12:AG83)</f>
        <v>0</v>
      </c>
      <c r="D19" s="127"/>
      <c r="E19" s="128"/>
      <c r="F19" s="56"/>
      <c r="G19" s="127" t="s">
        <v>370</v>
      </c>
      <c r="H19" s="128"/>
      <c r="I19" s="55">
        <f>VORN!I26</f>
        <v>0</v>
      </c>
      <c r="J19" s="23"/>
    </row>
    <row r="20" spans="1:10" ht="15" customHeight="1">
      <c r="A20" s="129" t="s">
        <v>342</v>
      </c>
      <c r="B20" s="130"/>
      <c r="C20" s="55">
        <f>SUM('Stavební rozpočet'!AH12:AH83)</f>
        <v>0</v>
      </c>
      <c r="D20" s="127"/>
      <c r="E20" s="128"/>
      <c r="F20" s="56"/>
      <c r="G20" s="127"/>
      <c r="H20" s="128"/>
      <c r="I20" s="56"/>
      <c r="J20" s="23"/>
    </row>
    <row r="21" spans="1:10" ht="15" customHeight="1">
      <c r="A21" s="129" t="s">
        <v>343</v>
      </c>
      <c r="B21" s="130"/>
      <c r="C21" s="55">
        <f>SUM('Stavební rozpočet'!Z12:Z83)</f>
        <v>0</v>
      </c>
      <c r="D21" s="127"/>
      <c r="E21" s="128"/>
      <c r="F21" s="56"/>
      <c r="G21" s="127"/>
      <c r="H21" s="128"/>
      <c r="I21" s="56"/>
      <c r="J21" s="23"/>
    </row>
    <row r="22" spans="1:10" ht="16.5" customHeight="1">
      <c r="A22" s="129" t="s">
        <v>344</v>
      </c>
      <c r="B22" s="130"/>
      <c r="C22" s="55">
        <f>SUM(C14:C21)</f>
        <v>0</v>
      </c>
      <c r="D22" s="129" t="s">
        <v>358</v>
      </c>
      <c r="E22" s="130"/>
      <c r="F22" s="55">
        <f>SUM(F14:F21)</f>
        <v>0</v>
      </c>
      <c r="G22" s="129" t="s">
        <v>371</v>
      </c>
      <c r="H22" s="130"/>
      <c r="I22" s="55">
        <f>SUM(I14:I21)</f>
        <v>0</v>
      </c>
      <c r="J22" s="23"/>
    </row>
    <row r="23" spans="1:10" ht="15" customHeight="1">
      <c r="A23" s="8"/>
      <c r="B23" s="8"/>
      <c r="C23" s="53"/>
      <c r="D23" s="129" t="s">
        <v>359</v>
      </c>
      <c r="E23" s="130"/>
      <c r="F23" s="57">
        <v>0</v>
      </c>
      <c r="G23" s="129" t="s">
        <v>372</v>
      </c>
      <c r="H23" s="130"/>
      <c r="I23" s="55">
        <v>0</v>
      </c>
      <c r="J23" s="23"/>
    </row>
    <row r="24" spans="4:10" ht="15" customHeight="1">
      <c r="D24" s="8"/>
      <c r="E24" s="8"/>
      <c r="F24" s="58"/>
      <c r="G24" s="129" t="s">
        <v>373</v>
      </c>
      <c r="H24" s="130"/>
      <c r="I24" s="55">
        <f>vorn_sum</f>
        <v>0</v>
      </c>
      <c r="J24" s="23"/>
    </row>
    <row r="25" spans="6:10" ht="15" customHeight="1">
      <c r="F25" s="59"/>
      <c r="G25" s="129" t="s">
        <v>374</v>
      </c>
      <c r="H25" s="130"/>
      <c r="I25" s="55">
        <v>0</v>
      </c>
      <c r="J25" s="23"/>
    </row>
    <row r="26" spans="1:9" ht="12.75">
      <c r="A26" s="45"/>
      <c r="B26" s="45"/>
      <c r="C26" s="45"/>
      <c r="G26" s="8"/>
      <c r="H26" s="8"/>
      <c r="I26" s="8"/>
    </row>
    <row r="27" spans="1:9" ht="15" customHeight="1">
      <c r="A27" s="131" t="s">
        <v>345</v>
      </c>
      <c r="B27" s="132"/>
      <c r="C27" s="60">
        <f>SUM('Stavební rozpočet'!AJ12:AJ83)</f>
        <v>0</v>
      </c>
      <c r="D27" s="54"/>
      <c r="E27" s="45"/>
      <c r="F27" s="45"/>
      <c r="G27" s="45"/>
      <c r="H27" s="45"/>
      <c r="I27" s="45"/>
    </row>
    <row r="28" spans="1:10" ht="15" customHeight="1">
      <c r="A28" s="131" t="s">
        <v>346</v>
      </c>
      <c r="B28" s="132"/>
      <c r="C28" s="60">
        <f>SUM('Stavební rozpočet'!AK12:AK83)</f>
        <v>0</v>
      </c>
      <c r="D28" s="131" t="s">
        <v>360</v>
      </c>
      <c r="E28" s="132"/>
      <c r="F28" s="60">
        <f>ROUND(C28*(15/100),2)</f>
        <v>0</v>
      </c>
      <c r="G28" s="131" t="s">
        <v>375</v>
      </c>
      <c r="H28" s="132"/>
      <c r="I28" s="60">
        <f>SUM(C27:C29)</f>
        <v>0</v>
      </c>
      <c r="J28" s="23"/>
    </row>
    <row r="29" spans="1:10" ht="15" customHeight="1">
      <c r="A29" s="131" t="s">
        <v>347</v>
      </c>
      <c r="B29" s="132"/>
      <c r="C29" s="60">
        <f>SUM('Stavební rozpočet'!AL12:AL83)+(F22+I22+F23+I23+I24+I25)</f>
        <v>0</v>
      </c>
      <c r="D29" s="131" t="s">
        <v>361</v>
      </c>
      <c r="E29" s="132"/>
      <c r="F29" s="60">
        <f>ROUND(C29*(21/100),2)</f>
        <v>0</v>
      </c>
      <c r="G29" s="131" t="s">
        <v>376</v>
      </c>
      <c r="H29" s="132"/>
      <c r="I29" s="60">
        <f>SUM(F28:F29)+I28</f>
        <v>0</v>
      </c>
      <c r="J29" s="23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33" t="s">
        <v>348</v>
      </c>
      <c r="B31" s="134"/>
      <c r="C31" s="135"/>
      <c r="D31" s="133" t="s">
        <v>362</v>
      </c>
      <c r="E31" s="134"/>
      <c r="F31" s="135"/>
      <c r="G31" s="133" t="s">
        <v>377</v>
      </c>
      <c r="H31" s="134"/>
      <c r="I31" s="135"/>
      <c r="J31" s="24"/>
    </row>
    <row r="32" spans="1:10" ht="14.25" customHeight="1">
      <c r="A32" s="136"/>
      <c r="B32" s="137"/>
      <c r="C32" s="138"/>
      <c r="D32" s="136"/>
      <c r="E32" s="137"/>
      <c r="F32" s="138"/>
      <c r="G32" s="136"/>
      <c r="H32" s="137"/>
      <c r="I32" s="138"/>
      <c r="J32" s="24"/>
    </row>
    <row r="33" spans="1:10" ht="14.25" customHeight="1">
      <c r="A33" s="136"/>
      <c r="B33" s="137"/>
      <c r="C33" s="138"/>
      <c r="D33" s="136"/>
      <c r="E33" s="137"/>
      <c r="F33" s="138"/>
      <c r="G33" s="136"/>
      <c r="H33" s="137"/>
      <c r="I33" s="138"/>
      <c r="J33" s="24"/>
    </row>
    <row r="34" spans="1:10" ht="14.25" customHeight="1">
      <c r="A34" s="136"/>
      <c r="B34" s="137"/>
      <c r="C34" s="138"/>
      <c r="D34" s="136"/>
      <c r="E34" s="137"/>
      <c r="F34" s="138"/>
      <c r="G34" s="136"/>
      <c r="H34" s="137"/>
      <c r="I34" s="138"/>
      <c r="J34" s="24"/>
    </row>
    <row r="35" spans="1:10" ht="14.25" customHeight="1">
      <c r="A35" s="139" t="s">
        <v>349</v>
      </c>
      <c r="B35" s="140"/>
      <c r="C35" s="141"/>
      <c r="D35" s="139" t="s">
        <v>349</v>
      </c>
      <c r="E35" s="140"/>
      <c r="F35" s="141"/>
      <c r="G35" s="139" t="s">
        <v>349</v>
      </c>
      <c r="H35" s="140"/>
      <c r="I35" s="141"/>
      <c r="J35" s="24"/>
    </row>
    <row r="36" spans="1:9" ht="11.25" customHeight="1">
      <c r="A36" s="50" t="s">
        <v>64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85"/>
      <c r="B37" s="77"/>
      <c r="C37" s="77"/>
      <c r="D37" s="77"/>
      <c r="E37" s="77"/>
      <c r="F37" s="77"/>
      <c r="G37" s="77"/>
      <c r="H37" s="77"/>
      <c r="I37" s="7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1"/>
      <c r="B1" s="45"/>
      <c r="C1" s="116" t="s">
        <v>393</v>
      </c>
      <c r="D1" s="73"/>
      <c r="E1" s="73"/>
      <c r="F1" s="73"/>
      <c r="G1" s="73"/>
      <c r="H1" s="73"/>
      <c r="I1" s="73"/>
    </row>
    <row r="2" spans="1:10" ht="12.75">
      <c r="A2" s="74" t="s">
        <v>1</v>
      </c>
      <c r="B2" s="75"/>
      <c r="C2" s="78" t="str">
        <f>'Stavební rozpočet'!C2</f>
        <v>OPRAVA SPRCH A VÝMĚNA UMYVADEL V SDH DRUŽSTEVNÍ</v>
      </c>
      <c r="D2" s="106"/>
      <c r="E2" s="81" t="s">
        <v>218</v>
      </c>
      <c r="F2" s="81" t="str">
        <f>'Stavební rozpočet'!H2</f>
        <v>Město Studénka</v>
      </c>
      <c r="G2" s="75"/>
      <c r="H2" s="81" t="s">
        <v>378</v>
      </c>
      <c r="I2" s="117" t="s">
        <v>382</v>
      </c>
      <c r="J2" s="23"/>
    </row>
    <row r="3" spans="1:10" ht="12.75">
      <c r="A3" s="76"/>
      <c r="B3" s="77"/>
      <c r="C3" s="79"/>
      <c r="D3" s="79"/>
      <c r="E3" s="77"/>
      <c r="F3" s="77"/>
      <c r="G3" s="77"/>
      <c r="H3" s="77"/>
      <c r="I3" s="83"/>
      <c r="J3" s="23"/>
    </row>
    <row r="4" spans="1:10" ht="12.75">
      <c r="A4" s="84" t="s">
        <v>2</v>
      </c>
      <c r="B4" s="77"/>
      <c r="C4" s="85" t="str">
        <f>'Stavební rozpočet'!C4</f>
        <v> </v>
      </c>
      <c r="D4" s="77"/>
      <c r="E4" s="85" t="s">
        <v>219</v>
      </c>
      <c r="F4" s="85" t="str">
        <f>'Stavební rozpočet'!H4</f>
        <v>Renata Škopová</v>
      </c>
      <c r="G4" s="77"/>
      <c r="H4" s="85" t="s">
        <v>378</v>
      </c>
      <c r="I4" s="118" t="s">
        <v>383</v>
      </c>
      <c r="J4" s="23"/>
    </row>
    <row r="5" spans="1:10" ht="12.75">
      <c r="A5" s="76"/>
      <c r="B5" s="77"/>
      <c r="C5" s="77"/>
      <c r="D5" s="77"/>
      <c r="E5" s="77"/>
      <c r="F5" s="77"/>
      <c r="G5" s="77"/>
      <c r="H5" s="77"/>
      <c r="I5" s="83"/>
      <c r="J5" s="23"/>
    </row>
    <row r="6" spans="1:10" ht="12.75">
      <c r="A6" s="84" t="s">
        <v>3</v>
      </c>
      <c r="B6" s="77"/>
      <c r="C6" s="85" t="str">
        <f>'Stavební rozpočet'!C6</f>
        <v> </v>
      </c>
      <c r="D6" s="77"/>
      <c r="E6" s="85" t="s">
        <v>220</v>
      </c>
      <c r="F6" s="85" t="str">
        <f>'Stavební rozpočet'!H6</f>
        <v> </v>
      </c>
      <c r="G6" s="77"/>
      <c r="H6" s="85" t="s">
        <v>378</v>
      </c>
      <c r="I6" s="118"/>
      <c r="J6" s="23"/>
    </row>
    <row r="7" spans="1:10" ht="12.75">
      <c r="A7" s="76"/>
      <c r="B7" s="77"/>
      <c r="C7" s="77"/>
      <c r="D7" s="77"/>
      <c r="E7" s="77"/>
      <c r="F7" s="77"/>
      <c r="G7" s="77"/>
      <c r="H7" s="77"/>
      <c r="I7" s="83"/>
      <c r="J7" s="23"/>
    </row>
    <row r="8" spans="1:10" ht="12.75">
      <c r="A8" s="84" t="s">
        <v>214</v>
      </c>
      <c r="B8" s="77"/>
      <c r="C8" s="85" t="str">
        <f>'Stavební rozpočet'!F4</f>
        <v> </v>
      </c>
      <c r="D8" s="77"/>
      <c r="E8" s="85" t="s">
        <v>215</v>
      </c>
      <c r="F8" s="85" t="str">
        <f>'Stavební rozpočet'!F6</f>
        <v> </v>
      </c>
      <c r="G8" s="77"/>
      <c r="H8" s="86" t="s">
        <v>379</v>
      </c>
      <c r="I8" s="118" t="s">
        <v>63</v>
      </c>
      <c r="J8" s="23"/>
    </row>
    <row r="9" spans="1:10" ht="12.75">
      <c r="A9" s="76"/>
      <c r="B9" s="77"/>
      <c r="C9" s="77"/>
      <c r="D9" s="77"/>
      <c r="E9" s="77"/>
      <c r="F9" s="77"/>
      <c r="G9" s="77"/>
      <c r="H9" s="77"/>
      <c r="I9" s="83"/>
      <c r="J9" s="23"/>
    </row>
    <row r="10" spans="1:10" ht="12.75">
      <c r="A10" s="84" t="s">
        <v>4</v>
      </c>
      <c r="B10" s="77"/>
      <c r="C10" s="85" t="str">
        <f>'Stavební rozpočet'!C8</f>
        <v> </v>
      </c>
      <c r="D10" s="77"/>
      <c r="E10" s="85" t="s">
        <v>221</v>
      </c>
      <c r="F10" s="85" t="str">
        <f>'Stavební rozpočet'!H8</f>
        <v>Radovan Duchoň</v>
      </c>
      <c r="G10" s="77"/>
      <c r="H10" s="86" t="s">
        <v>380</v>
      </c>
      <c r="I10" s="121" t="str">
        <f>'Stavební rozpočet'!F8</f>
        <v>27.04.2019</v>
      </c>
      <c r="J10" s="23"/>
    </row>
    <row r="11" spans="1:10" ht="12.75">
      <c r="A11" s="119"/>
      <c r="B11" s="120"/>
      <c r="C11" s="120"/>
      <c r="D11" s="120"/>
      <c r="E11" s="120"/>
      <c r="F11" s="120"/>
      <c r="G11" s="120"/>
      <c r="H11" s="120"/>
      <c r="I11" s="122"/>
      <c r="J11" s="23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42" t="s">
        <v>384</v>
      </c>
      <c r="B13" s="143"/>
      <c r="C13" s="143"/>
      <c r="D13" s="143"/>
      <c r="E13" s="143"/>
      <c r="F13" s="62"/>
      <c r="G13" s="62"/>
      <c r="H13" s="62"/>
      <c r="I13" s="62"/>
    </row>
    <row r="14" spans="1:10" ht="12.75">
      <c r="A14" s="144" t="s">
        <v>385</v>
      </c>
      <c r="B14" s="145"/>
      <c r="C14" s="145"/>
      <c r="D14" s="145"/>
      <c r="E14" s="146"/>
      <c r="F14" s="63" t="s">
        <v>394</v>
      </c>
      <c r="G14" s="63" t="s">
        <v>228</v>
      </c>
      <c r="H14" s="63" t="s">
        <v>395</v>
      </c>
      <c r="I14" s="63" t="s">
        <v>394</v>
      </c>
      <c r="J14" s="24"/>
    </row>
    <row r="15" spans="1:10" ht="12.75">
      <c r="A15" s="147" t="s">
        <v>355</v>
      </c>
      <c r="B15" s="148"/>
      <c r="C15" s="148"/>
      <c r="D15" s="148"/>
      <c r="E15" s="149"/>
      <c r="F15" s="64">
        <v>0</v>
      </c>
      <c r="G15" s="68"/>
      <c r="H15" s="68"/>
      <c r="I15" s="64">
        <f>F15</f>
        <v>0</v>
      </c>
      <c r="J15" s="23"/>
    </row>
    <row r="16" spans="1:10" ht="12.75">
      <c r="A16" s="147" t="s">
        <v>356</v>
      </c>
      <c r="B16" s="148"/>
      <c r="C16" s="148"/>
      <c r="D16" s="148"/>
      <c r="E16" s="149"/>
      <c r="F16" s="64">
        <v>0</v>
      </c>
      <c r="G16" s="68"/>
      <c r="H16" s="68"/>
      <c r="I16" s="64">
        <f>F16</f>
        <v>0</v>
      </c>
      <c r="J16" s="23"/>
    </row>
    <row r="17" spans="1:10" ht="12.75">
      <c r="A17" s="150" t="s">
        <v>357</v>
      </c>
      <c r="B17" s="151"/>
      <c r="C17" s="151"/>
      <c r="D17" s="151"/>
      <c r="E17" s="152"/>
      <c r="F17" s="65">
        <v>0</v>
      </c>
      <c r="G17" s="67"/>
      <c r="H17" s="67"/>
      <c r="I17" s="65">
        <f>F17</f>
        <v>0</v>
      </c>
      <c r="J17" s="23"/>
    </row>
    <row r="18" spans="1:10" ht="12.75">
      <c r="A18" s="153" t="s">
        <v>386</v>
      </c>
      <c r="B18" s="108"/>
      <c r="C18" s="108"/>
      <c r="D18" s="108"/>
      <c r="E18" s="154"/>
      <c r="F18" s="66"/>
      <c r="G18" s="69"/>
      <c r="H18" s="69"/>
      <c r="I18" s="70">
        <f>SUM(I15:I17)</f>
        <v>0</v>
      </c>
      <c r="J18" s="24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10" ht="12.75">
      <c r="A20" s="144" t="s">
        <v>381</v>
      </c>
      <c r="B20" s="145"/>
      <c r="C20" s="145"/>
      <c r="D20" s="145"/>
      <c r="E20" s="146"/>
      <c r="F20" s="63" t="s">
        <v>394</v>
      </c>
      <c r="G20" s="63" t="s">
        <v>228</v>
      </c>
      <c r="H20" s="63" t="s">
        <v>395</v>
      </c>
      <c r="I20" s="63" t="s">
        <v>394</v>
      </c>
      <c r="J20" s="24"/>
    </row>
    <row r="21" spans="1:10" ht="12.75">
      <c r="A21" s="147" t="s">
        <v>365</v>
      </c>
      <c r="B21" s="148"/>
      <c r="C21" s="148"/>
      <c r="D21" s="148"/>
      <c r="E21" s="149"/>
      <c r="F21" s="64">
        <v>0</v>
      </c>
      <c r="G21" s="68"/>
      <c r="H21" s="68"/>
      <c r="I21" s="64">
        <f aca="true" t="shared" si="0" ref="I21:I26">F21</f>
        <v>0</v>
      </c>
      <c r="J21" s="23"/>
    </row>
    <row r="22" spans="1:10" ht="12.75">
      <c r="A22" s="147" t="s">
        <v>366</v>
      </c>
      <c r="B22" s="148"/>
      <c r="C22" s="148"/>
      <c r="D22" s="148"/>
      <c r="E22" s="149"/>
      <c r="F22" s="64">
        <v>0</v>
      </c>
      <c r="G22" s="68"/>
      <c r="H22" s="68"/>
      <c r="I22" s="64">
        <f t="shared" si="0"/>
        <v>0</v>
      </c>
      <c r="J22" s="23"/>
    </row>
    <row r="23" spans="1:10" ht="12.75">
      <c r="A23" s="147" t="s">
        <v>367</v>
      </c>
      <c r="B23" s="148"/>
      <c r="C23" s="148"/>
      <c r="D23" s="148"/>
      <c r="E23" s="149"/>
      <c r="F23" s="64">
        <v>0</v>
      </c>
      <c r="G23" s="68"/>
      <c r="H23" s="68"/>
      <c r="I23" s="64">
        <f t="shared" si="0"/>
        <v>0</v>
      </c>
      <c r="J23" s="23"/>
    </row>
    <row r="24" spans="1:10" ht="12.75">
      <c r="A24" s="147" t="s">
        <v>368</v>
      </c>
      <c r="B24" s="148"/>
      <c r="C24" s="148"/>
      <c r="D24" s="148"/>
      <c r="E24" s="149"/>
      <c r="F24" s="64">
        <v>0</v>
      </c>
      <c r="G24" s="68"/>
      <c r="H24" s="68"/>
      <c r="I24" s="64">
        <f t="shared" si="0"/>
        <v>0</v>
      </c>
      <c r="J24" s="23"/>
    </row>
    <row r="25" spans="1:10" ht="12.75">
      <c r="A25" s="147" t="s">
        <v>369</v>
      </c>
      <c r="B25" s="148"/>
      <c r="C25" s="148"/>
      <c r="D25" s="148"/>
      <c r="E25" s="149"/>
      <c r="F25" s="64">
        <v>0</v>
      </c>
      <c r="G25" s="68"/>
      <c r="H25" s="68"/>
      <c r="I25" s="64">
        <f t="shared" si="0"/>
        <v>0</v>
      </c>
      <c r="J25" s="23"/>
    </row>
    <row r="26" spans="1:10" ht="12.75">
      <c r="A26" s="150" t="s">
        <v>370</v>
      </c>
      <c r="B26" s="151"/>
      <c r="C26" s="151"/>
      <c r="D26" s="151"/>
      <c r="E26" s="152"/>
      <c r="F26" s="65">
        <v>0</v>
      </c>
      <c r="G26" s="67"/>
      <c r="H26" s="67"/>
      <c r="I26" s="65">
        <f t="shared" si="0"/>
        <v>0</v>
      </c>
      <c r="J26" s="23"/>
    </row>
    <row r="27" spans="1:10" ht="12.75">
      <c r="A27" s="153" t="s">
        <v>387</v>
      </c>
      <c r="B27" s="108"/>
      <c r="C27" s="108"/>
      <c r="D27" s="108"/>
      <c r="E27" s="154"/>
      <c r="F27" s="66"/>
      <c r="G27" s="69"/>
      <c r="H27" s="69"/>
      <c r="I27" s="70">
        <f>SUM(I21:I26)</f>
        <v>0</v>
      </c>
      <c r="J27" s="24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10" ht="15" customHeight="1">
      <c r="A29" s="155" t="s">
        <v>388</v>
      </c>
      <c r="B29" s="156"/>
      <c r="C29" s="156"/>
      <c r="D29" s="156"/>
      <c r="E29" s="157"/>
      <c r="F29" s="158">
        <f>I18+I27</f>
        <v>0</v>
      </c>
      <c r="G29" s="159"/>
      <c r="H29" s="159"/>
      <c r="I29" s="160"/>
      <c r="J29" s="24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3" spans="1:9" ht="15" customHeight="1">
      <c r="A33" s="142" t="s">
        <v>389</v>
      </c>
      <c r="B33" s="143"/>
      <c r="C33" s="143"/>
      <c r="D33" s="143"/>
      <c r="E33" s="143"/>
      <c r="F33" s="62"/>
      <c r="G33" s="62"/>
      <c r="H33" s="62"/>
      <c r="I33" s="62"/>
    </row>
    <row r="34" spans="1:10" ht="12.75">
      <c r="A34" s="144" t="s">
        <v>390</v>
      </c>
      <c r="B34" s="145"/>
      <c r="C34" s="145"/>
      <c r="D34" s="145"/>
      <c r="E34" s="146"/>
      <c r="F34" s="63" t="s">
        <v>394</v>
      </c>
      <c r="G34" s="63" t="s">
        <v>228</v>
      </c>
      <c r="H34" s="63" t="s">
        <v>395</v>
      </c>
      <c r="I34" s="63" t="s">
        <v>394</v>
      </c>
      <c r="J34" s="24"/>
    </row>
    <row r="35" spans="1:10" ht="12.75">
      <c r="A35" s="150" t="s">
        <v>391</v>
      </c>
      <c r="B35" s="151"/>
      <c r="C35" s="151"/>
      <c r="D35" s="151"/>
      <c r="E35" s="152"/>
      <c r="F35" s="67"/>
      <c r="G35" s="65">
        <v>2.9</v>
      </c>
      <c r="H35" s="65">
        <f>'Krycí list rozpočtu'!C22</f>
        <v>0</v>
      </c>
      <c r="I35" s="65">
        <f>(G35/100)*H35</f>
        <v>0</v>
      </c>
      <c r="J35" s="23"/>
    </row>
    <row r="36" spans="1:10" ht="12.75">
      <c r="A36" s="153" t="s">
        <v>392</v>
      </c>
      <c r="B36" s="108"/>
      <c r="C36" s="108"/>
      <c r="D36" s="108"/>
      <c r="E36" s="154"/>
      <c r="F36" s="66"/>
      <c r="G36" s="69"/>
      <c r="H36" s="69"/>
      <c r="I36" s="70">
        <f>SUM(I35:I35)</f>
        <v>0</v>
      </c>
      <c r="J36" s="24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Kaňuščák Lukáš</dc:creator>
  <cp:keywords/>
  <dc:description/>
  <cp:lastModifiedBy>Kaňuščák Lukáš</cp:lastModifiedBy>
  <dcterms:created xsi:type="dcterms:W3CDTF">2019-08-26T07:44:35Z</dcterms:created>
  <dcterms:modified xsi:type="dcterms:W3CDTF">2019-08-26T07:44:35Z</dcterms:modified>
  <cp:category/>
  <cp:version/>
  <cp:contentType/>
  <cp:contentStatus/>
</cp:coreProperties>
</file>