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Krycí list rozpočtu" sheetId="1" r:id="rId1"/>
    <sheet name="Stavební rozpočet" sheetId="2" r:id="rId2"/>
  </sheets>
  <definedNames/>
  <calcPr fullCalcOnLoad="1"/>
</workbook>
</file>

<file path=xl/sharedStrings.xml><?xml version="1.0" encoding="utf-8"?>
<sst xmlns="http://schemas.openxmlformats.org/spreadsheetml/2006/main" count="442" uniqueCount="233">
  <si>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</si>
  <si>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</si>
  <si>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</si>
  <si>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</si>
  <si>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</si>
  <si>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</si>
  <si>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</si>
  <si>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</si>
  <si>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</si>
  <si>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</si>
  <si>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</si>
  <si>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</si>
  <si>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</si>
  <si>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</si>
  <si>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</si>
  <si>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</si>
  <si>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</si>
  <si>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</si>
  <si>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</si>
  <si>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</si>
  <si>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</si>
  <si>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</si>
  <si>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</si>
  <si>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</si>
  <si>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</si>
  <si>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</si>
  <si>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</si>
  <si>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</si>
  <si>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</si>
  <si>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</si>
  <si>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</si>
  <si>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</si>
  <si>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</si>
  <si>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</si>
  <si>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</si>
  <si>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</si>
  <si>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</si>
  <si>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</si>
  <si>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</si>
  <si>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</si>
  <si>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</si>
  <si>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Poznámka:</t>
  </si>
  <si>
    <t>Objekt</t>
  </si>
  <si>
    <t>Kód</t>
  </si>
  <si>
    <t>61</t>
  </si>
  <si>
    <t>612403382R00</t>
  </si>
  <si>
    <t>612421637R00</t>
  </si>
  <si>
    <t>612425931R00</t>
  </si>
  <si>
    <t>620991005R00</t>
  </si>
  <si>
    <t>612409991R00</t>
  </si>
  <si>
    <t>63</t>
  </si>
  <si>
    <t>632441491R00</t>
  </si>
  <si>
    <t>766</t>
  </si>
  <si>
    <t>766119111R00</t>
  </si>
  <si>
    <t>766900010RA0</t>
  </si>
  <si>
    <t>61143792.A</t>
  </si>
  <si>
    <t>776</t>
  </si>
  <si>
    <t>776401800R00</t>
  </si>
  <si>
    <t>776511810R00</t>
  </si>
  <si>
    <t>776200810R00</t>
  </si>
  <si>
    <t>776101121R00</t>
  </si>
  <si>
    <t>632411105R00</t>
  </si>
  <si>
    <t>776511000R00</t>
  </si>
  <si>
    <t>776994111R00</t>
  </si>
  <si>
    <t>28412306</t>
  </si>
  <si>
    <t>776421100RU1</t>
  </si>
  <si>
    <t>776210110R00</t>
  </si>
  <si>
    <t>776210200R00</t>
  </si>
  <si>
    <t>776210300RU1</t>
  </si>
  <si>
    <t>776210300RU2</t>
  </si>
  <si>
    <t>776981101R00</t>
  </si>
  <si>
    <t>998776203R00</t>
  </si>
  <si>
    <t>783</t>
  </si>
  <si>
    <t>783201811R00</t>
  </si>
  <si>
    <t>783222100R00</t>
  </si>
  <si>
    <t>784</t>
  </si>
  <si>
    <t>784402802R00</t>
  </si>
  <si>
    <t>784195112R00</t>
  </si>
  <si>
    <t>95</t>
  </si>
  <si>
    <t>952901111R00</t>
  </si>
  <si>
    <t>H99</t>
  </si>
  <si>
    <t>999281105R00</t>
  </si>
  <si>
    <t>M21</t>
  </si>
  <si>
    <t>210110004R00</t>
  </si>
  <si>
    <t>S</t>
  </si>
  <si>
    <t>979086213R00</t>
  </si>
  <si>
    <t>979100014RA0</t>
  </si>
  <si>
    <t>979990191R00</t>
  </si>
  <si>
    <t>Výměna PVC podlah, dveří a odstranění obkladů,nátěry,výmalba</t>
  </si>
  <si>
    <t>MŠ Budovatelská 580 Studénka</t>
  </si>
  <si>
    <t>Zkrácený popis</t>
  </si>
  <si>
    <t>Rozměry</t>
  </si>
  <si>
    <t>Úprava povrchů vnitřní</t>
  </si>
  <si>
    <t>Hrubá výplň rýh ve stěnách do 5x5 cm maltou ze SMS</t>
  </si>
  <si>
    <t>Omítka vnitřní zdiva, MVC, štuková</t>
  </si>
  <si>
    <t>Omítka vápenná vnitřního ostění - štuková</t>
  </si>
  <si>
    <t>Začišťovací okenní lišta s tkaninou</t>
  </si>
  <si>
    <t>Začištění omítek kolem oken,dveří apod.</t>
  </si>
  <si>
    <t>Podlahy a podlahové konstrukce</t>
  </si>
  <si>
    <t>Broušení  stáv. potěru</t>
  </si>
  <si>
    <t>Konstrukce truhlářské</t>
  </si>
  <si>
    <t>Věšáková stěna s háčky lamino Buk</t>
  </si>
  <si>
    <t>Demontáž obložení stěn</t>
  </si>
  <si>
    <t>Mont a dod dveře vchodové 2 křídlé plast s nadsvětlíkem 1580x2850 otevíravé výplň sklo connex,stavěč,</t>
  </si>
  <si>
    <t>Podlahy povlakové</t>
  </si>
  <si>
    <t>Demontáž soklíků nebo lišt, pryžových nebo z PVC</t>
  </si>
  <si>
    <t>Odstranění PVC a koberců lepených bez podložky</t>
  </si>
  <si>
    <t>Odstranění PVC podlah lepen. bez podl. ze schodišť</t>
  </si>
  <si>
    <t>Provedení penetrace podkladu</t>
  </si>
  <si>
    <t>Samonivelační stěrka Cemix, ruč.zpracování tl.5 mm</t>
  </si>
  <si>
    <t>Lepení povlakových podlah z pásů pryžových</t>
  </si>
  <si>
    <t>Svařování povlakových podlah z pásů nebo čtverců</t>
  </si>
  <si>
    <t>Podlahovina PVC NF Extra š.1,5m vč schodů</t>
  </si>
  <si>
    <t>Lepení podlahových soklíků z PVC a vinylu</t>
  </si>
  <si>
    <t>Lepení podlah pryžových na stupnice rovné</t>
  </si>
  <si>
    <t>Lepení podlah pryžových na podstupnice</t>
  </si>
  <si>
    <t>Lepení a dodávka hran pryžových na stupně 1891</t>
  </si>
  <si>
    <t>Lepení hran pryžových na stupně 1891 č 421</t>
  </si>
  <si>
    <t>Montáž a dod. přech. podlahové lišty Al š. 4 cm samolepicí</t>
  </si>
  <si>
    <t>Přesun hmot pro podlahy povlakové, výšky do 24 m</t>
  </si>
  <si>
    <t>Nátěry</t>
  </si>
  <si>
    <t>Odstranění nátěrů z kovových konstrukcí oškrábáním</t>
  </si>
  <si>
    <t>Nátěr syntetický kovových konstrukcí dvojnásobný</t>
  </si>
  <si>
    <t>Malby</t>
  </si>
  <si>
    <t>Odstranění malby oškrábáním v místnosti H do 5 m</t>
  </si>
  <si>
    <t>Malba Primalex Standard, bílá, bez penetrace, 2 x</t>
  </si>
  <si>
    <t>Různé dokončovací konstrukce a práce na pozemních stavbách</t>
  </si>
  <si>
    <t>Vyčištění budov o výšce podlaží do 4 m</t>
  </si>
  <si>
    <t>Ostatní přesuny hmot</t>
  </si>
  <si>
    <t>Přesun hmot pro opravy a údržbu do výšky 6 m</t>
  </si>
  <si>
    <t>Elektromontáže</t>
  </si>
  <si>
    <t>Úprava elektroinstalace u nových dveří</t>
  </si>
  <si>
    <t>Přesuny sutí</t>
  </si>
  <si>
    <t>Nakládání vybouraných hmot na dopravní prostředek</t>
  </si>
  <si>
    <t>Odvoz suti a vyb.hmot do 15 km, vnitrost. 25 m</t>
  </si>
  <si>
    <t>Poplatek za skládku suti - plastové výrobky</t>
  </si>
  <si>
    <t>Doba výstavby:</t>
  </si>
  <si>
    <t>Začátek výstavby:</t>
  </si>
  <si>
    <t>Konec výstavby:</t>
  </si>
  <si>
    <t>Zpracováno dne:</t>
  </si>
  <si>
    <t>M.j.</t>
  </si>
  <si>
    <t>m</t>
  </si>
  <si>
    <t>m2</t>
  </si>
  <si>
    <t>ks</t>
  </si>
  <si>
    <t>kus</t>
  </si>
  <si>
    <t>%</t>
  </si>
  <si>
    <t>t</t>
  </si>
  <si>
    <t>sb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</si>
  <si>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</si>
  <si>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</si>
  <si>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</si>
  <si>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</si>
  <si>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</si>
  <si>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</si>
  <si>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</si>
  <si>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</si>
  <si>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</si>
  <si>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</si>
  <si>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</si>
  <si>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</si>
  <si>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</si>
  <si>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</si>
  <si>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</si>
  <si>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RTS II / 2016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</si>
  <si>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</si>
  <si>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</si>
  <si>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</si>
  <si>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</si>
  <si>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</si>
  <si>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</si>
  <si>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</si>
  <si>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</si>
  <si>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</si>
  <si>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61_</t>
  </si>
  <si>
    <t>63_</t>
  </si>
  <si>
    <t>766_</t>
  </si>
  <si>
    <t>776_</t>
  </si>
  <si>
    <t>783_</t>
  </si>
  <si>
    <t>784_</t>
  </si>
  <si>
    <t>95_</t>
  </si>
  <si>
    <t>H99_</t>
  </si>
  <si>
    <t>M21_</t>
  </si>
  <si>
    <t>S_</t>
  </si>
  <si>
    <t>6_</t>
  </si>
  <si>
    <t>76_</t>
  </si>
  <si>
    <t>77_</t>
  </si>
  <si>
    <t>78_</t>
  </si>
  <si>
    <t>9_</t>
  </si>
  <si>
    <t>_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</si>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</sst>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0" applyNumberFormat="0" applyBorder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1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0" fillId="34" borderId="26" xfId="0" applyNumberFormat="1" applyFont="1" applyFill="1" applyBorder="1" applyAlignment="1" applyProtection="1">
      <alignment horizontal="center" vertical="center"/>
      <protection/>
    </xf>
    <xf numFmtId="49" fontId="11" fillId="0" borderId="27" xfId="0" applyNumberFormat="1" applyFont="1" applyFill="1" applyBorder="1" applyAlignment="1" applyProtection="1">
      <alignment horizontal="left" vertical="center"/>
      <protection/>
    </xf>
    <xf numFmtId="49" fontId="1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2" fillId="0" borderId="26" xfId="0" applyNumberFormat="1" applyFont="1" applyFill="1" applyBorder="1" applyAlignment="1" applyProtection="1">
      <alignment horizontal="right" vertical="center"/>
      <protection/>
    </xf>
    <xf numFmtId="49" fontId="12" fillId="0" borderId="26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1" fillId="34" borderId="35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0" fontId="13" fillId="0" borderId="35" xfId="0" applyNumberFormat="1" applyFont="1" applyFill="1" applyBorder="1" applyAlignment="1" applyProtection="1">
      <alignment horizontal="left" vertical="center"/>
      <protection/>
    </xf>
    <xf numFmtId="49" fontId="12" fillId="0" borderId="34" xfId="0" applyNumberFormat="1" applyFont="1" applyFill="1" applyBorder="1" applyAlignment="1" applyProtection="1">
      <alignment horizontal="left" vertical="center"/>
      <protection/>
    </xf>
    <xf numFmtId="0" fontId="12" fillId="0" borderId="35" xfId="0" applyNumberFormat="1" applyFont="1" applyFill="1" applyBorder="1" applyAlignment="1" applyProtection="1">
      <alignment horizontal="left" vertical="center"/>
      <protection/>
    </xf>
    <xf numFmtId="49" fontId="11" fillId="0" borderId="34" xfId="0" applyNumberFormat="1" applyFont="1" applyFill="1" applyBorder="1" applyAlignment="1" applyProtection="1">
      <alignment horizontal="left" vertical="center"/>
      <protection/>
    </xf>
    <xf numFmtId="0" fontId="11" fillId="0" borderId="35" xfId="0" applyNumberFormat="1" applyFont="1" applyFill="1" applyBorder="1" applyAlignment="1" applyProtection="1">
      <alignment horizontal="left" vertical="center"/>
      <protection/>
    </xf>
    <xf numFmtId="49" fontId="11" fillId="34" borderId="34" xfId="0" applyNumberFormat="1" applyFont="1" applyFill="1" applyBorder="1" applyAlignment="1" applyProtection="1">
      <alignment horizontal="left" vertical="center"/>
      <protection/>
    </xf>
    <xf numFmtId="0" fontId="11" fillId="34" borderId="38" xfId="0" applyNumberFormat="1" applyFont="1" applyFill="1" applyBorder="1" applyAlignment="1" applyProtection="1">
      <alignment horizontal="left" vertical="center"/>
      <protection/>
    </xf>
    <xf numFmtId="49" fontId="12" fillId="0" borderId="39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40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41" xfId="0" applyNumberFormat="1" applyFont="1" applyFill="1" applyBorder="1" applyAlignment="1" applyProtection="1">
      <alignment horizontal="left" vertical="center"/>
      <protection/>
    </xf>
    <xf numFmtId="49" fontId="12" fillId="0" borderId="42" xfId="0" applyNumberFormat="1" applyFont="1" applyFill="1" applyBorder="1" applyAlignment="1" applyProtection="1">
      <alignment horizontal="left" vertical="center"/>
      <protection/>
    </xf>
    <xf numFmtId="0" fontId="12" fillId="0" borderId="43" xfId="0" applyNumberFormat="1" applyFont="1" applyFill="1" applyBorder="1" applyAlignment="1" applyProtection="1">
      <alignment horizontal="left" vertical="center"/>
      <protection/>
    </xf>
    <xf numFmtId="0" fontId="12" fillId="0" borderId="44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49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N16" sqref="N16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5"/>
      <c r="B1" s="38"/>
      <c r="C1" s="56" t="s">
        <v>204</v>
      </c>
      <c r="D1" s="57"/>
      <c r="E1" s="57"/>
      <c r="F1" s="57"/>
      <c r="G1" s="57"/>
      <c r="H1" s="57"/>
      <c r="I1" s="57"/>
    </row>
    <row r="2" spans="1:10" ht="12.75">
      <c r="A2" s="58" t="s">
        <v>1</v>
      </c>
      <c r="B2" s="59"/>
      <c r="C2" s="62" t="s">
        <v>88</v>
      </c>
      <c r="D2" s="63"/>
      <c r="E2" s="65" t="s">
        <v>154</v>
      </c>
      <c r="F2" s="65"/>
      <c r="G2" s="59"/>
      <c r="H2" s="65" t="s">
        <v>229</v>
      </c>
      <c r="I2" s="66"/>
      <c r="J2" s="31"/>
    </row>
    <row r="3" spans="1:10" ht="25.5" customHeight="1">
      <c r="A3" s="60"/>
      <c r="B3" s="61"/>
      <c r="C3" s="64"/>
      <c r="D3" s="64"/>
      <c r="E3" s="61"/>
      <c r="F3" s="61"/>
      <c r="G3" s="61"/>
      <c r="H3" s="61"/>
      <c r="I3" s="67"/>
      <c r="J3" s="31"/>
    </row>
    <row r="4" spans="1:10" ht="12.75">
      <c r="A4" s="68" t="s">
        <v>2</v>
      </c>
      <c r="B4" s="61"/>
      <c r="C4" s="69"/>
      <c r="D4" s="61"/>
      <c r="E4" s="69" t="s">
        <v>155</v>
      </c>
      <c r="F4" s="69"/>
      <c r="G4" s="61"/>
      <c r="H4" s="69" t="s">
        <v>229</v>
      </c>
      <c r="I4" s="70"/>
      <c r="J4" s="31"/>
    </row>
    <row r="5" spans="1:10" ht="12.75">
      <c r="A5" s="60"/>
      <c r="B5" s="61"/>
      <c r="C5" s="61"/>
      <c r="D5" s="61"/>
      <c r="E5" s="61"/>
      <c r="F5" s="61"/>
      <c r="G5" s="61"/>
      <c r="H5" s="61"/>
      <c r="I5" s="67"/>
      <c r="J5" s="31"/>
    </row>
    <row r="6" spans="1:10" ht="12.75">
      <c r="A6" s="68" t="s">
        <v>3</v>
      </c>
      <c r="B6" s="61"/>
      <c r="C6" s="69" t="s">
        <v>89</v>
      </c>
      <c r="D6" s="61"/>
      <c r="E6" s="69" t="s">
        <v>156</v>
      </c>
      <c r="F6" s="69"/>
      <c r="G6" s="61"/>
      <c r="H6" s="69" t="s">
        <v>229</v>
      </c>
      <c r="I6" s="70"/>
      <c r="J6" s="31"/>
    </row>
    <row r="7" spans="1:10" ht="12.75">
      <c r="A7" s="60"/>
      <c r="B7" s="61"/>
      <c r="C7" s="61"/>
      <c r="D7" s="61"/>
      <c r="E7" s="61"/>
      <c r="F7" s="61"/>
      <c r="G7" s="61"/>
      <c r="H7" s="61"/>
      <c r="I7" s="67"/>
      <c r="J7" s="31"/>
    </row>
    <row r="8" spans="1:10" ht="12.75">
      <c r="A8" s="68" t="s">
        <v>137</v>
      </c>
      <c r="B8" s="61"/>
      <c r="C8" s="71">
        <v>42685</v>
      </c>
      <c r="D8" s="61"/>
      <c r="E8" s="69" t="s">
        <v>138</v>
      </c>
      <c r="F8" s="61"/>
      <c r="G8" s="61"/>
      <c r="H8" s="72" t="s">
        <v>230</v>
      </c>
      <c r="I8" s="70" t="s">
        <v>40</v>
      </c>
      <c r="J8" s="31"/>
    </row>
    <row r="9" spans="1:10" ht="12.75">
      <c r="A9" s="60"/>
      <c r="B9" s="61"/>
      <c r="C9" s="61"/>
      <c r="D9" s="61"/>
      <c r="E9" s="61"/>
      <c r="F9" s="61"/>
      <c r="G9" s="61"/>
      <c r="H9" s="61"/>
      <c r="I9" s="67"/>
      <c r="J9" s="31"/>
    </row>
    <row r="10" spans="1:10" ht="12.75">
      <c r="A10" s="68" t="s">
        <v>4</v>
      </c>
      <c r="B10" s="61"/>
      <c r="C10" s="69"/>
      <c r="D10" s="61"/>
      <c r="E10" s="69" t="s">
        <v>157</v>
      </c>
      <c r="F10" s="69"/>
      <c r="G10" s="61"/>
      <c r="H10" s="72" t="s">
        <v>231</v>
      </c>
      <c r="I10" s="75">
        <v>42685</v>
      </c>
      <c r="J10" s="31"/>
    </row>
    <row r="11" spans="1:10" ht="12.75">
      <c r="A11" s="73"/>
      <c r="B11" s="74"/>
      <c r="C11" s="74"/>
      <c r="D11" s="74"/>
      <c r="E11" s="74"/>
      <c r="F11" s="74"/>
      <c r="G11" s="74"/>
      <c r="H11" s="74"/>
      <c r="I11" s="76"/>
      <c r="J11" s="31"/>
    </row>
    <row r="12" spans="1:9" ht="23.25" customHeight="1">
      <c r="A12" s="77" t="s">
        <v>189</v>
      </c>
      <c r="B12" s="78"/>
      <c r="C12" s="78"/>
      <c r="D12" s="78"/>
      <c r="E12" s="78"/>
      <c r="F12" s="78"/>
      <c r="G12" s="78"/>
      <c r="H12" s="78"/>
      <c r="I12" s="78"/>
    </row>
    <row r="13" spans="1:10" ht="26.25" customHeight="1">
      <c r="A13" s="39" t="s">
        <v>190</v>
      </c>
      <c r="B13" s="79" t="s">
        <v>202</v>
      </c>
      <c r="C13" s="80"/>
      <c r="D13" s="39" t="s">
        <v>205</v>
      </c>
      <c r="E13" s="79" t="s">
        <v>214</v>
      </c>
      <c r="F13" s="80"/>
      <c r="G13" s="39" t="s">
        <v>215</v>
      </c>
      <c r="H13" s="79" t="s">
        <v>232</v>
      </c>
      <c r="I13" s="80"/>
      <c r="J13" s="31"/>
    </row>
    <row r="14" spans="1:10" ht="15" customHeight="1">
      <c r="A14" s="40" t="s">
        <v>191</v>
      </c>
      <c r="B14" s="44" t="s">
        <v>203</v>
      </c>
      <c r="C14" s="48">
        <f>SUM('Stavební rozpočet'!R12:R55)</f>
        <v>0</v>
      </c>
      <c r="D14" s="81" t="s">
        <v>206</v>
      </c>
      <c r="E14" s="82"/>
      <c r="F14" s="48">
        <v>0</v>
      </c>
      <c r="G14" s="81" t="s">
        <v>216</v>
      </c>
      <c r="H14" s="82"/>
      <c r="I14" s="48">
        <v>0</v>
      </c>
      <c r="J14" s="31"/>
    </row>
    <row r="15" spans="1:10" ht="15" customHeight="1">
      <c r="A15" s="41"/>
      <c r="B15" s="44" t="s">
        <v>158</v>
      </c>
      <c r="C15" s="48">
        <f>SUM('Stavební rozpočet'!S12:S55)</f>
        <v>0</v>
      </c>
      <c r="D15" s="81" t="s">
        <v>207</v>
      </c>
      <c r="E15" s="82"/>
      <c r="F15" s="48">
        <v>0</v>
      </c>
      <c r="G15" s="81" t="s">
        <v>217</v>
      </c>
      <c r="H15" s="82"/>
      <c r="I15" s="48">
        <v>0</v>
      </c>
      <c r="J15" s="31"/>
    </row>
    <row r="16" spans="1:10" ht="15" customHeight="1">
      <c r="A16" s="40" t="s">
        <v>192</v>
      </c>
      <c r="B16" s="44" t="s">
        <v>203</v>
      </c>
      <c r="C16" s="48">
        <f>SUM('Stavební rozpočet'!T12:T55)</f>
        <v>0</v>
      </c>
      <c r="D16" s="81" t="s">
        <v>208</v>
      </c>
      <c r="E16" s="82"/>
      <c r="F16" s="48">
        <v>0</v>
      </c>
      <c r="G16" s="81" t="s">
        <v>218</v>
      </c>
      <c r="H16" s="82"/>
      <c r="I16" s="48">
        <v>0</v>
      </c>
      <c r="J16" s="31"/>
    </row>
    <row r="17" spans="1:10" ht="15" customHeight="1">
      <c r="A17" s="41"/>
      <c r="B17" s="44" t="s">
        <v>158</v>
      </c>
      <c r="C17" s="48">
        <f>SUM('Stavební rozpočet'!U12:U55)</f>
        <v>0</v>
      </c>
      <c r="D17" s="81"/>
      <c r="E17" s="82"/>
      <c r="F17" s="49"/>
      <c r="G17" s="81" t="s">
        <v>219</v>
      </c>
      <c r="H17" s="82"/>
      <c r="I17" s="48">
        <v>0</v>
      </c>
      <c r="J17" s="31"/>
    </row>
    <row r="18" spans="1:10" ht="15" customHeight="1">
      <c r="A18" s="40" t="s">
        <v>193</v>
      </c>
      <c r="B18" s="44" t="s">
        <v>203</v>
      </c>
      <c r="C18" s="48">
        <f>SUM('Stavební rozpočet'!V12:V55)</f>
        <v>0</v>
      </c>
      <c r="D18" s="81"/>
      <c r="E18" s="82"/>
      <c r="F18" s="49"/>
      <c r="G18" s="81" t="s">
        <v>220</v>
      </c>
      <c r="H18" s="82"/>
      <c r="I18" s="48">
        <v>0</v>
      </c>
      <c r="J18" s="31"/>
    </row>
    <row r="19" spans="1:10" ht="15" customHeight="1">
      <c r="A19" s="41"/>
      <c r="B19" s="44" t="s">
        <v>158</v>
      </c>
      <c r="C19" s="48">
        <f>SUM('Stavební rozpočet'!W12:W55)</f>
        <v>0</v>
      </c>
      <c r="D19" s="81"/>
      <c r="E19" s="82"/>
      <c r="F19" s="49"/>
      <c r="G19" s="81" t="s">
        <v>221</v>
      </c>
      <c r="H19" s="82"/>
      <c r="I19" s="48">
        <v>0</v>
      </c>
      <c r="J19" s="31"/>
    </row>
    <row r="20" spans="1:10" ht="15" customHeight="1">
      <c r="A20" s="83" t="s">
        <v>194</v>
      </c>
      <c r="B20" s="84"/>
      <c r="C20" s="48">
        <f>SUM('Stavební rozpočet'!X12:X55)</f>
        <v>0</v>
      </c>
      <c r="D20" s="81"/>
      <c r="E20" s="82"/>
      <c r="F20" s="49"/>
      <c r="G20" s="81"/>
      <c r="H20" s="82"/>
      <c r="I20" s="49"/>
      <c r="J20" s="31"/>
    </row>
    <row r="21" spans="1:10" ht="15" customHeight="1">
      <c r="A21" s="83" t="s">
        <v>195</v>
      </c>
      <c r="B21" s="84"/>
      <c r="C21" s="48">
        <f>SUM('Stavební rozpočet'!P12:P55)</f>
        <v>0</v>
      </c>
      <c r="D21" s="81"/>
      <c r="E21" s="82"/>
      <c r="F21" s="49"/>
      <c r="G21" s="81"/>
      <c r="H21" s="82"/>
      <c r="I21" s="49"/>
      <c r="J21" s="31"/>
    </row>
    <row r="22" spans="1:10" ht="16.5" customHeight="1">
      <c r="A22" s="83" t="s">
        <v>196</v>
      </c>
      <c r="B22" s="84"/>
      <c r="C22" s="48">
        <f>SUM(C14:C21)</f>
        <v>0</v>
      </c>
      <c r="D22" s="83" t="s">
        <v>209</v>
      </c>
      <c r="E22" s="84"/>
      <c r="F22" s="48">
        <f>SUM(F14:F21)</f>
        <v>0</v>
      </c>
      <c r="G22" s="83" t="s">
        <v>222</v>
      </c>
      <c r="H22" s="84"/>
      <c r="I22" s="48">
        <f>SUM(I14:I21)</f>
        <v>0</v>
      </c>
      <c r="J22" s="31"/>
    </row>
    <row r="23" spans="1:10" ht="15" customHeight="1">
      <c r="A23" s="8"/>
      <c r="B23" s="8"/>
      <c r="C23" s="46"/>
      <c r="D23" s="83" t="s">
        <v>210</v>
      </c>
      <c r="E23" s="84"/>
      <c r="F23" s="50">
        <v>0</v>
      </c>
      <c r="G23" s="83" t="s">
        <v>223</v>
      </c>
      <c r="H23" s="84"/>
      <c r="I23" s="48">
        <v>0</v>
      </c>
      <c r="J23" s="31"/>
    </row>
    <row r="24" spans="4:9" ht="15" customHeight="1">
      <c r="D24" s="8"/>
      <c r="E24" s="8"/>
      <c r="F24" s="51"/>
      <c r="G24" s="83" t="s">
        <v>224</v>
      </c>
      <c r="H24" s="84"/>
      <c r="I24" s="53"/>
    </row>
    <row r="25" spans="6:10" ht="15" customHeight="1">
      <c r="F25" s="52"/>
      <c r="G25" s="83" t="s">
        <v>225</v>
      </c>
      <c r="H25" s="84"/>
      <c r="I25" s="48">
        <v>0</v>
      </c>
      <c r="J25" s="31"/>
    </row>
    <row r="26" spans="1:9" ht="12.75">
      <c r="A26" s="38"/>
      <c r="B26" s="38"/>
      <c r="C26" s="38"/>
      <c r="G26" s="8"/>
      <c r="H26" s="8"/>
      <c r="I26" s="8"/>
    </row>
    <row r="27" spans="1:9" ht="15" customHeight="1">
      <c r="A27" s="85" t="s">
        <v>197</v>
      </c>
      <c r="B27" s="86"/>
      <c r="C27" s="54">
        <f>SUM('Stavební rozpočet'!Z12:Z55)</f>
        <v>0</v>
      </c>
      <c r="D27" s="47"/>
      <c r="E27" s="38"/>
      <c r="F27" s="38"/>
      <c r="G27" s="38"/>
      <c r="H27" s="38"/>
      <c r="I27" s="38"/>
    </row>
    <row r="28" spans="1:10" ht="15" customHeight="1">
      <c r="A28" s="85" t="s">
        <v>198</v>
      </c>
      <c r="B28" s="86"/>
      <c r="C28" s="54">
        <f>SUM('Stavební rozpočet'!AA12:AA55)</f>
        <v>0</v>
      </c>
      <c r="D28" s="85" t="s">
        <v>211</v>
      </c>
      <c r="E28" s="86"/>
      <c r="F28" s="54">
        <f>ROUND(C28*(15/100),2)</f>
        <v>0</v>
      </c>
      <c r="G28" s="85" t="s">
        <v>226</v>
      </c>
      <c r="H28" s="86"/>
      <c r="I28" s="54">
        <f>SUM(C27:C29)</f>
        <v>0</v>
      </c>
      <c r="J28" s="31"/>
    </row>
    <row r="29" spans="1:10" ht="15" customHeight="1">
      <c r="A29" s="85" t="s">
        <v>199</v>
      </c>
      <c r="B29" s="86"/>
      <c r="C29" s="54">
        <f>SUM('Stavební rozpočet'!AB12:AB55)+(F22+I22+F23+I23+I24+I25)</f>
        <v>0</v>
      </c>
      <c r="D29" s="85" t="s">
        <v>212</v>
      </c>
      <c r="E29" s="86"/>
      <c r="F29" s="54">
        <f>ROUND(C29*(21/100),2)</f>
        <v>0</v>
      </c>
      <c r="G29" s="85" t="s">
        <v>227</v>
      </c>
      <c r="H29" s="86"/>
      <c r="I29" s="54">
        <f>SUM(F28:F29)+I28</f>
        <v>0</v>
      </c>
      <c r="J29" s="31"/>
    </row>
    <row r="30" spans="1:9" ht="12.75">
      <c r="A30" s="42"/>
      <c r="B30" s="42"/>
      <c r="C30" s="42"/>
      <c r="D30" s="42"/>
      <c r="E30" s="42"/>
      <c r="F30" s="42"/>
      <c r="G30" s="42"/>
      <c r="H30" s="42"/>
      <c r="I30" s="42"/>
    </row>
    <row r="31" spans="1:10" ht="14.25" customHeight="1">
      <c r="A31" s="87" t="s">
        <v>200</v>
      </c>
      <c r="B31" s="88"/>
      <c r="C31" s="89"/>
      <c r="D31" s="87" t="s">
        <v>213</v>
      </c>
      <c r="E31" s="88"/>
      <c r="F31" s="89"/>
      <c r="G31" s="87" t="s">
        <v>228</v>
      </c>
      <c r="H31" s="88"/>
      <c r="I31" s="89"/>
      <c r="J31" s="32"/>
    </row>
    <row r="32" spans="1:10" ht="14.25" customHeight="1">
      <c r="A32" s="90"/>
      <c r="B32" s="91"/>
      <c r="C32" s="92"/>
      <c r="D32" s="90"/>
      <c r="E32" s="91"/>
      <c r="F32" s="92"/>
      <c r="G32" s="90"/>
      <c r="H32" s="91"/>
      <c r="I32" s="92"/>
      <c r="J32" s="32"/>
    </row>
    <row r="33" spans="1:10" ht="14.25" customHeight="1">
      <c r="A33" s="90"/>
      <c r="B33" s="91"/>
      <c r="C33" s="92"/>
      <c r="D33" s="90"/>
      <c r="E33" s="91"/>
      <c r="F33" s="92"/>
      <c r="G33" s="90"/>
      <c r="H33" s="91"/>
      <c r="I33" s="92"/>
      <c r="J33" s="32"/>
    </row>
    <row r="34" spans="1:10" ht="14.25" customHeight="1">
      <c r="A34" s="90"/>
      <c r="B34" s="91"/>
      <c r="C34" s="92"/>
      <c r="D34" s="90"/>
      <c r="E34" s="91"/>
      <c r="F34" s="92"/>
      <c r="G34" s="90"/>
      <c r="H34" s="91"/>
      <c r="I34" s="92"/>
      <c r="J34" s="32"/>
    </row>
    <row r="35" spans="1:10" ht="14.25" customHeight="1">
      <c r="A35" s="93" t="s">
        <v>201</v>
      </c>
      <c r="B35" s="94"/>
      <c r="C35" s="95"/>
      <c r="D35" s="93" t="s">
        <v>201</v>
      </c>
      <c r="E35" s="94"/>
      <c r="F35" s="95"/>
      <c r="G35" s="93" t="s">
        <v>201</v>
      </c>
      <c r="H35" s="94"/>
      <c r="I35" s="95"/>
      <c r="J35" s="32"/>
    </row>
    <row r="36" spans="1:9" ht="11.25" customHeight="1">
      <c r="A36" s="43" t="s">
        <v>41</v>
      </c>
      <c r="B36" s="45"/>
      <c r="C36" s="45"/>
      <c r="D36" s="45"/>
      <c r="E36" s="45"/>
      <c r="F36" s="45"/>
      <c r="G36" s="45"/>
      <c r="H36" s="45"/>
      <c r="I36" s="45"/>
    </row>
    <row r="37" spans="1:9" ht="409.5" customHeight="1" hidden="1">
      <c r="A37" s="69"/>
      <c r="B37" s="61"/>
      <c r="C37" s="61"/>
      <c r="D37" s="61"/>
      <c r="E37" s="61"/>
      <c r="F37" s="61"/>
      <c r="G37" s="61"/>
      <c r="H37" s="61"/>
      <c r="I37" s="61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8"/>
  <sheetViews>
    <sheetView zoomScalePageLayoutView="0" workbookViewId="0" topLeftCell="A4">
      <selection activeCell="F33" sqref="F33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94.71093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4" ht="12.75">
      <c r="A2" s="58" t="s">
        <v>1</v>
      </c>
      <c r="B2" s="59"/>
      <c r="C2" s="59"/>
      <c r="D2" s="62" t="s">
        <v>88</v>
      </c>
      <c r="E2" s="98" t="s">
        <v>136</v>
      </c>
      <c r="F2" s="59"/>
      <c r="G2" s="98"/>
      <c r="H2" s="59"/>
      <c r="I2" s="65" t="s">
        <v>154</v>
      </c>
      <c r="J2" s="65"/>
      <c r="K2" s="59"/>
      <c r="L2" s="59"/>
      <c r="M2" s="99"/>
      <c r="N2" s="31"/>
    </row>
    <row r="3" spans="1:14" ht="12.75">
      <c r="A3" s="60"/>
      <c r="B3" s="61"/>
      <c r="C3" s="61"/>
      <c r="D3" s="64"/>
      <c r="E3" s="61"/>
      <c r="F3" s="61"/>
      <c r="G3" s="61"/>
      <c r="H3" s="61"/>
      <c r="I3" s="61"/>
      <c r="J3" s="61"/>
      <c r="K3" s="61"/>
      <c r="L3" s="61"/>
      <c r="M3" s="67"/>
      <c r="N3" s="31"/>
    </row>
    <row r="4" spans="1:14" ht="12.75">
      <c r="A4" s="68" t="s">
        <v>2</v>
      </c>
      <c r="B4" s="61"/>
      <c r="C4" s="61"/>
      <c r="D4" s="69"/>
      <c r="E4" s="72" t="s">
        <v>137</v>
      </c>
      <c r="F4" s="61"/>
      <c r="G4" s="71">
        <v>42685</v>
      </c>
      <c r="H4" s="61"/>
      <c r="I4" s="69" t="s">
        <v>155</v>
      </c>
      <c r="J4" s="69"/>
      <c r="K4" s="61"/>
      <c r="L4" s="61"/>
      <c r="M4" s="67"/>
      <c r="N4" s="31"/>
    </row>
    <row r="5" spans="1:14" ht="12.75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7"/>
      <c r="N5" s="31"/>
    </row>
    <row r="6" spans="1:14" ht="12.75">
      <c r="A6" s="68" t="s">
        <v>3</v>
      </c>
      <c r="B6" s="61"/>
      <c r="C6" s="61"/>
      <c r="D6" s="69" t="s">
        <v>89</v>
      </c>
      <c r="E6" s="72" t="s">
        <v>138</v>
      </c>
      <c r="F6" s="61"/>
      <c r="G6" s="61"/>
      <c r="H6" s="61"/>
      <c r="I6" s="69" t="s">
        <v>156</v>
      </c>
      <c r="J6" s="69"/>
      <c r="K6" s="61"/>
      <c r="L6" s="61"/>
      <c r="M6" s="67"/>
      <c r="N6" s="31"/>
    </row>
    <row r="7" spans="1:14" ht="12.7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7"/>
      <c r="N7" s="31"/>
    </row>
    <row r="8" spans="1:14" ht="12.75">
      <c r="A8" s="68" t="s">
        <v>4</v>
      </c>
      <c r="B8" s="61"/>
      <c r="C8" s="61"/>
      <c r="D8" s="69"/>
      <c r="E8" s="72" t="s">
        <v>139</v>
      </c>
      <c r="F8" s="61"/>
      <c r="G8" s="71">
        <v>42685</v>
      </c>
      <c r="H8" s="61"/>
      <c r="I8" s="69" t="s">
        <v>157</v>
      </c>
      <c r="J8" s="69"/>
      <c r="K8" s="61"/>
      <c r="L8" s="61"/>
      <c r="M8" s="67"/>
      <c r="N8" s="31"/>
    </row>
    <row r="9" spans="1:14" ht="12.75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  <c r="N9" s="31"/>
    </row>
    <row r="10" spans="1:14" ht="12.75">
      <c r="A10" s="1" t="s">
        <v>5</v>
      </c>
      <c r="B10" s="10" t="s">
        <v>42</v>
      </c>
      <c r="C10" s="10" t="s">
        <v>43</v>
      </c>
      <c r="D10" s="10" t="s">
        <v>90</v>
      </c>
      <c r="E10" s="10" t="s">
        <v>140</v>
      </c>
      <c r="F10" s="15" t="s">
        <v>148</v>
      </c>
      <c r="G10" s="19" t="s">
        <v>149</v>
      </c>
      <c r="H10" s="103" t="s">
        <v>151</v>
      </c>
      <c r="I10" s="104"/>
      <c r="J10" s="105"/>
      <c r="K10" s="103" t="s">
        <v>160</v>
      </c>
      <c r="L10" s="105"/>
      <c r="M10" s="26" t="s">
        <v>161</v>
      </c>
      <c r="N10" s="32"/>
    </row>
    <row r="11" spans="1:24" ht="12.75">
      <c r="A11" s="2" t="s">
        <v>6</v>
      </c>
      <c r="B11" s="11" t="s">
        <v>6</v>
      </c>
      <c r="C11" s="11" t="s">
        <v>6</v>
      </c>
      <c r="D11" s="14" t="s">
        <v>91</v>
      </c>
      <c r="E11" s="11" t="s">
        <v>6</v>
      </c>
      <c r="F11" s="11" t="s">
        <v>6</v>
      </c>
      <c r="G11" s="20" t="s">
        <v>150</v>
      </c>
      <c r="H11" s="21" t="s">
        <v>152</v>
      </c>
      <c r="I11" s="22" t="s">
        <v>158</v>
      </c>
      <c r="J11" s="23" t="s">
        <v>159</v>
      </c>
      <c r="K11" s="21" t="s">
        <v>149</v>
      </c>
      <c r="L11" s="23" t="s">
        <v>159</v>
      </c>
      <c r="M11" s="27" t="s">
        <v>162</v>
      </c>
      <c r="N11" s="32"/>
      <c r="P11" s="25" t="s">
        <v>164</v>
      </c>
      <c r="Q11" s="25" t="s">
        <v>165</v>
      </c>
      <c r="R11" s="25" t="s">
        <v>166</v>
      </c>
      <c r="S11" s="25" t="s">
        <v>167</v>
      </c>
      <c r="T11" s="25" t="s">
        <v>168</v>
      </c>
      <c r="U11" s="25" t="s">
        <v>169</v>
      </c>
      <c r="V11" s="25" t="s">
        <v>170</v>
      </c>
      <c r="W11" s="25" t="s">
        <v>171</v>
      </c>
      <c r="X11" s="25" t="s">
        <v>172</v>
      </c>
    </row>
    <row r="12" spans="1:37" ht="12.75">
      <c r="A12" s="3"/>
      <c r="B12" s="12"/>
      <c r="C12" s="12" t="s">
        <v>44</v>
      </c>
      <c r="D12" s="106" t="s">
        <v>92</v>
      </c>
      <c r="E12" s="107"/>
      <c r="F12" s="107"/>
      <c r="G12" s="107"/>
      <c r="H12" s="35">
        <f>SUM(H13:H17)</f>
        <v>0</v>
      </c>
      <c r="I12" s="35">
        <f>SUM(I13:I17)</f>
        <v>0</v>
      </c>
      <c r="J12" s="35">
        <f>H12+I12</f>
        <v>0</v>
      </c>
      <c r="K12" s="24"/>
      <c r="L12" s="35">
        <f>SUM(L13:L17)</f>
        <v>1.20463</v>
      </c>
      <c r="M12" s="24"/>
      <c r="Y12" s="25"/>
      <c r="AI12" s="36">
        <f>SUM(Z13:Z17)</f>
        <v>0</v>
      </c>
      <c r="AJ12" s="36">
        <f>SUM(AA13:AA17)</f>
        <v>0</v>
      </c>
      <c r="AK12" s="36">
        <f>SUM(AB13:AB17)</f>
        <v>0</v>
      </c>
    </row>
    <row r="13" spans="1:48" ht="12.75">
      <c r="A13" s="4" t="s">
        <v>7</v>
      </c>
      <c r="B13" s="4"/>
      <c r="C13" s="4" t="s">
        <v>45</v>
      </c>
      <c r="D13" s="4" t="s">
        <v>93</v>
      </c>
      <c r="E13" s="4" t="s">
        <v>141</v>
      </c>
      <c r="F13" s="16">
        <v>20</v>
      </c>
      <c r="G13" s="16">
        <v>0</v>
      </c>
      <c r="H13" s="16">
        <f>F13*AE13</f>
        <v>0</v>
      </c>
      <c r="I13" s="16">
        <f>J13-H13</f>
        <v>0</v>
      </c>
      <c r="J13" s="16">
        <f>F13*G13</f>
        <v>0</v>
      </c>
      <c r="K13" s="16">
        <v>0.00433</v>
      </c>
      <c r="L13" s="16">
        <f>F13*K13</f>
        <v>0.0866</v>
      </c>
      <c r="M13" s="28" t="s">
        <v>163</v>
      </c>
      <c r="P13" s="33">
        <f>IF(AG13="5",J13,0)</f>
        <v>0</v>
      </c>
      <c r="R13" s="33">
        <f>IF(AG13="1",H13,0)</f>
        <v>0</v>
      </c>
      <c r="S13" s="33">
        <f>IF(AG13="1",I13,0)</f>
        <v>0</v>
      </c>
      <c r="T13" s="33">
        <f>IF(AG13="7",H13,0)</f>
        <v>0</v>
      </c>
      <c r="U13" s="33">
        <f>IF(AG13="7",I13,0)</f>
        <v>0</v>
      </c>
      <c r="V13" s="33">
        <f>IF(AG13="2",H13,0)</f>
        <v>0</v>
      </c>
      <c r="W13" s="33">
        <f>IF(AG13="2",I13,0)</f>
        <v>0</v>
      </c>
      <c r="X13" s="33">
        <f>IF(AG13="0",J13,0)</f>
        <v>0</v>
      </c>
      <c r="Y13" s="25"/>
      <c r="Z13" s="16">
        <f>IF(AD13=0,J13,0)</f>
        <v>0</v>
      </c>
      <c r="AA13" s="16">
        <f>IF(AD13=15,J13,0)</f>
        <v>0</v>
      </c>
      <c r="AB13" s="16">
        <f>IF(AD13=21,J13,0)</f>
        <v>0</v>
      </c>
      <c r="AD13" s="33">
        <v>21</v>
      </c>
      <c r="AE13" s="33">
        <f>G13*0.192820512820513</f>
        <v>0</v>
      </c>
      <c r="AF13" s="33">
        <f>G13*(1-0.192820512820513)</f>
        <v>0</v>
      </c>
      <c r="AG13" s="28" t="s">
        <v>7</v>
      </c>
      <c r="AM13" s="33">
        <f>F13*AE13</f>
        <v>0</v>
      </c>
      <c r="AN13" s="33">
        <f>F13*AF13</f>
        <v>0</v>
      </c>
      <c r="AO13" s="34" t="s">
        <v>173</v>
      </c>
      <c r="AP13" s="34" t="s">
        <v>183</v>
      </c>
      <c r="AQ13" s="25" t="s">
        <v>188</v>
      </c>
      <c r="AS13" s="33">
        <f>AM13+AN13</f>
        <v>0</v>
      </c>
      <c r="AT13" s="33">
        <f>G13/(100-AU13)*100</f>
        <v>0</v>
      </c>
      <c r="AU13" s="33">
        <v>0</v>
      </c>
      <c r="AV13" s="33">
        <f>L13</f>
        <v>0.0866</v>
      </c>
    </row>
    <row r="14" spans="1:48" ht="12.75">
      <c r="A14" s="4" t="s">
        <v>8</v>
      </c>
      <c r="B14" s="4"/>
      <c r="C14" s="4" t="s">
        <v>46</v>
      </c>
      <c r="D14" s="4" t="s">
        <v>94</v>
      </c>
      <c r="E14" s="4" t="s">
        <v>142</v>
      </c>
      <c r="F14" s="16">
        <v>20</v>
      </c>
      <c r="G14" s="16">
        <v>0</v>
      </c>
      <c r="H14" s="16">
        <f>F14*AE14</f>
        <v>0</v>
      </c>
      <c r="I14" s="16">
        <f>J14-H14</f>
        <v>0</v>
      </c>
      <c r="J14" s="16">
        <f>F14*G14</f>
        <v>0</v>
      </c>
      <c r="K14" s="16">
        <v>0.04766</v>
      </c>
      <c r="L14" s="16">
        <f>F14*K14</f>
        <v>0.9532</v>
      </c>
      <c r="M14" s="28" t="s">
        <v>163</v>
      </c>
      <c r="P14" s="33">
        <f>IF(AG14="5",J14,0)</f>
        <v>0</v>
      </c>
      <c r="R14" s="33">
        <f>IF(AG14="1",H14,0)</f>
        <v>0</v>
      </c>
      <c r="S14" s="33">
        <f>IF(AG14="1",I14,0)</f>
        <v>0</v>
      </c>
      <c r="T14" s="33">
        <f>IF(AG14="7",H14,0)</f>
        <v>0</v>
      </c>
      <c r="U14" s="33">
        <f>IF(AG14="7",I14,0)</f>
        <v>0</v>
      </c>
      <c r="V14" s="33">
        <f>IF(AG14="2",H14,0)</f>
        <v>0</v>
      </c>
      <c r="W14" s="33">
        <f>IF(AG14="2",I14,0)</f>
        <v>0</v>
      </c>
      <c r="X14" s="33">
        <f>IF(AG14="0",J14,0)</f>
        <v>0</v>
      </c>
      <c r="Y14" s="25"/>
      <c r="Z14" s="16">
        <f>IF(AD14=0,J14,0)</f>
        <v>0</v>
      </c>
      <c r="AA14" s="16">
        <f>IF(AD14=15,J14,0)</f>
        <v>0</v>
      </c>
      <c r="AB14" s="16">
        <f>IF(AD14=21,J14,0)</f>
        <v>0</v>
      </c>
      <c r="AD14" s="33">
        <v>21</v>
      </c>
      <c r="AE14" s="33">
        <f>G14*0.15238578680203</f>
        <v>0</v>
      </c>
      <c r="AF14" s="33">
        <f>G14*(1-0.15238578680203)</f>
        <v>0</v>
      </c>
      <c r="AG14" s="28" t="s">
        <v>7</v>
      </c>
      <c r="AM14" s="33">
        <f>F14*AE14</f>
        <v>0</v>
      </c>
      <c r="AN14" s="33">
        <f>F14*AF14</f>
        <v>0</v>
      </c>
      <c r="AO14" s="34" t="s">
        <v>173</v>
      </c>
      <c r="AP14" s="34" t="s">
        <v>183</v>
      </c>
      <c r="AQ14" s="25" t="s">
        <v>188</v>
      </c>
      <c r="AS14" s="33">
        <f>AM14+AN14</f>
        <v>0</v>
      </c>
      <c r="AT14" s="33">
        <f>G14/(100-AU14)*100</f>
        <v>0</v>
      </c>
      <c r="AU14" s="33">
        <v>0</v>
      </c>
      <c r="AV14" s="33">
        <f>L14</f>
        <v>0.9532</v>
      </c>
    </row>
    <row r="15" spans="1:48" ht="12.75">
      <c r="A15" s="4" t="s">
        <v>9</v>
      </c>
      <c r="B15" s="4"/>
      <c r="C15" s="4" t="s">
        <v>47</v>
      </c>
      <c r="D15" s="4" t="s">
        <v>95</v>
      </c>
      <c r="E15" s="4" t="s">
        <v>142</v>
      </c>
      <c r="F15" s="16">
        <v>2</v>
      </c>
      <c r="G15" s="16">
        <v>0</v>
      </c>
      <c r="H15" s="16">
        <f>F15*AE15</f>
        <v>0</v>
      </c>
      <c r="I15" s="16">
        <f>J15-H15</f>
        <v>0</v>
      </c>
      <c r="J15" s="16">
        <f>F15*G15</f>
        <v>0</v>
      </c>
      <c r="K15" s="16">
        <v>0.05369</v>
      </c>
      <c r="L15" s="16">
        <f>F15*K15</f>
        <v>0.10738</v>
      </c>
      <c r="M15" s="28" t="s">
        <v>163</v>
      </c>
      <c r="P15" s="33">
        <f>IF(AG15="5",J15,0)</f>
        <v>0</v>
      </c>
      <c r="R15" s="33">
        <f>IF(AG15="1",H15,0)</f>
        <v>0</v>
      </c>
      <c r="S15" s="33">
        <f>IF(AG15="1",I15,0)</f>
        <v>0</v>
      </c>
      <c r="T15" s="33">
        <f>IF(AG15="7",H15,0)</f>
        <v>0</v>
      </c>
      <c r="U15" s="33">
        <f>IF(AG15="7",I15,0)</f>
        <v>0</v>
      </c>
      <c r="V15" s="33">
        <f>IF(AG15="2",H15,0)</f>
        <v>0</v>
      </c>
      <c r="W15" s="33">
        <f>IF(AG15="2",I15,0)</f>
        <v>0</v>
      </c>
      <c r="X15" s="33">
        <f>IF(AG15="0",J15,0)</f>
        <v>0</v>
      </c>
      <c r="Y15" s="25"/>
      <c r="Z15" s="16">
        <f>IF(AD15=0,J15,0)</f>
        <v>0</v>
      </c>
      <c r="AA15" s="16">
        <f>IF(AD15=15,J15,0)</f>
        <v>0</v>
      </c>
      <c r="AB15" s="16">
        <f>IF(AD15=21,J15,0)</f>
        <v>0</v>
      </c>
      <c r="AD15" s="33">
        <v>21</v>
      </c>
      <c r="AE15" s="33">
        <f>G15*0.178960302457467</f>
        <v>0</v>
      </c>
      <c r="AF15" s="33">
        <f>G15*(1-0.178960302457467)</f>
        <v>0</v>
      </c>
      <c r="AG15" s="28" t="s">
        <v>7</v>
      </c>
      <c r="AM15" s="33">
        <f>F15*AE15</f>
        <v>0</v>
      </c>
      <c r="AN15" s="33">
        <f>F15*AF15</f>
        <v>0</v>
      </c>
      <c r="AO15" s="34" t="s">
        <v>173</v>
      </c>
      <c r="AP15" s="34" t="s">
        <v>183</v>
      </c>
      <c r="AQ15" s="25" t="s">
        <v>188</v>
      </c>
      <c r="AS15" s="33">
        <f>AM15+AN15</f>
        <v>0</v>
      </c>
      <c r="AT15" s="33">
        <f>G15/(100-AU15)*100</f>
        <v>0</v>
      </c>
      <c r="AU15" s="33">
        <v>0</v>
      </c>
      <c r="AV15" s="33">
        <f>L15</f>
        <v>0.10738</v>
      </c>
    </row>
    <row r="16" spans="1:48" ht="12.75">
      <c r="A16" s="4" t="s">
        <v>10</v>
      </c>
      <c r="B16" s="4"/>
      <c r="C16" s="4" t="s">
        <v>48</v>
      </c>
      <c r="D16" s="4" t="s">
        <v>96</v>
      </c>
      <c r="E16" s="4" t="s">
        <v>141</v>
      </c>
      <c r="F16" s="16">
        <v>15</v>
      </c>
      <c r="G16" s="16">
        <v>0</v>
      </c>
      <c r="H16" s="16">
        <f>F16*AE16</f>
        <v>0</v>
      </c>
      <c r="I16" s="16">
        <f>J16-H16</f>
        <v>0</v>
      </c>
      <c r="J16" s="16">
        <f>F16*G16</f>
        <v>0</v>
      </c>
      <c r="K16" s="16">
        <v>0.00012</v>
      </c>
      <c r="L16" s="16">
        <f>F16*K16</f>
        <v>0.0018</v>
      </c>
      <c r="M16" s="28" t="s">
        <v>163</v>
      </c>
      <c r="P16" s="33">
        <f>IF(AG16="5",J16,0)</f>
        <v>0</v>
      </c>
      <c r="R16" s="33">
        <f>IF(AG16="1",H16,0)</f>
        <v>0</v>
      </c>
      <c r="S16" s="33">
        <f>IF(AG16="1",I16,0)</f>
        <v>0</v>
      </c>
      <c r="T16" s="33">
        <f>IF(AG16="7",H16,0)</f>
        <v>0</v>
      </c>
      <c r="U16" s="33">
        <f>IF(AG16="7",I16,0)</f>
        <v>0</v>
      </c>
      <c r="V16" s="33">
        <f>IF(AG16="2",H16,0)</f>
        <v>0</v>
      </c>
      <c r="W16" s="33">
        <f>IF(AG16="2",I16,0)</f>
        <v>0</v>
      </c>
      <c r="X16" s="33">
        <f>IF(AG16="0",J16,0)</f>
        <v>0</v>
      </c>
      <c r="Y16" s="25"/>
      <c r="Z16" s="16">
        <f>IF(AD16=0,J16,0)</f>
        <v>0</v>
      </c>
      <c r="AA16" s="16">
        <f>IF(AD16=15,J16,0)</f>
        <v>0</v>
      </c>
      <c r="AB16" s="16">
        <f>IF(AD16=21,J16,0)</f>
        <v>0</v>
      </c>
      <c r="AD16" s="33">
        <v>21</v>
      </c>
      <c r="AE16" s="33">
        <f>G16*0.717070504645655</f>
        <v>0</v>
      </c>
      <c r="AF16" s="33">
        <f>G16*(1-0.717070504645655)</f>
        <v>0</v>
      </c>
      <c r="AG16" s="28" t="s">
        <v>7</v>
      </c>
      <c r="AM16" s="33">
        <f>F16*AE16</f>
        <v>0</v>
      </c>
      <c r="AN16" s="33">
        <f>F16*AF16</f>
        <v>0</v>
      </c>
      <c r="AO16" s="34" t="s">
        <v>173</v>
      </c>
      <c r="AP16" s="34" t="s">
        <v>183</v>
      </c>
      <c r="AQ16" s="25" t="s">
        <v>188</v>
      </c>
      <c r="AS16" s="33">
        <f>AM16+AN16</f>
        <v>0</v>
      </c>
      <c r="AT16" s="33">
        <f>G16/(100-AU16)*100</f>
        <v>0</v>
      </c>
      <c r="AU16" s="33">
        <v>0</v>
      </c>
      <c r="AV16" s="33">
        <f>L16</f>
        <v>0.0018</v>
      </c>
    </row>
    <row r="17" spans="1:48" ht="12.75">
      <c r="A17" s="4" t="s">
        <v>11</v>
      </c>
      <c r="B17" s="4"/>
      <c r="C17" s="4" t="s">
        <v>49</v>
      </c>
      <c r="D17" s="4" t="s">
        <v>97</v>
      </c>
      <c r="E17" s="4" t="s">
        <v>141</v>
      </c>
      <c r="F17" s="16">
        <v>15</v>
      </c>
      <c r="G17" s="16">
        <v>0</v>
      </c>
      <c r="H17" s="16">
        <f>F17*AE17</f>
        <v>0</v>
      </c>
      <c r="I17" s="16">
        <f>J17-H17</f>
        <v>0</v>
      </c>
      <c r="J17" s="16">
        <f>F17*G17</f>
        <v>0</v>
      </c>
      <c r="K17" s="16">
        <v>0.00371</v>
      </c>
      <c r="L17" s="16">
        <f>F17*K17</f>
        <v>0.055650000000000005</v>
      </c>
      <c r="M17" s="28" t="s">
        <v>163</v>
      </c>
      <c r="P17" s="33">
        <f>IF(AG17="5",J17,0)</f>
        <v>0</v>
      </c>
      <c r="R17" s="33">
        <f>IF(AG17="1",H17,0)</f>
        <v>0</v>
      </c>
      <c r="S17" s="33">
        <f>IF(AG17="1",I17,0)</f>
        <v>0</v>
      </c>
      <c r="T17" s="33">
        <f>IF(AG17="7",H17,0)</f>
        <v>0</v>
      </c>
      <c r="U17" s="33">
        <f>IF(AG17="7",I17,0)</f>
        <v>0</v>
      </c>
      <c r="V17" s="33">
        <f>IF(AG17="2",H17,0)</f>
        <v>0</v>
      </c>
      <c r="W17" s="33">
        <f>IF(AG17="2",I17,0)</f>
        <v>0</v>
      </c>
      <c r="X17" s="33">
        <f>IF(AG17="0",J17,0)</f>
        <v>0</v>
      </c>
      <c r="Y17" s="25"/>
      <c r="Z17" s="16">
        <f>IF(AD17=0,J17,0)</f>
        <v>0</v>
      </c>
      <c r="AA17" s="16">
        <f>IF(AD17=15,J17,0)</f>
        <v>0</v>
      </c>
      <c r="AB17" s="16">
        <f>IF(AD17=21,J17,0)</f>
        <v>0</v>
      </c>
      <c r="AD17" s="33">
        <v>21</v>
      </c>
      <c r="AE17" s="33">
        <f>G17*0.0605657237936772</f>
        <v>0</v>
      </c>
      <c r="AF17" s="33">
        <f>G17*(1-0.0605657237936772)</f>
        <v>0</v>
      </c>
      <c r="AG17" s="28" t="s">
        <v>7</v>
      </c>
      <c r="AM17" s="33">
        <f>F17*AE17</f>
        <v>0</v>
      </c>
      <c r="AN17" s="33">
        <f>F17*AF17</f>
        <v>0</v>
      </c>
      <c r="AO17" s="34" t="s">
        <v>173</v>
      </c>
      <c r="AP17" s="34" t="s">
        <v>183</v>
      </c>
      <c r="AQ17" s="25" t="s">
        <v>188</v>
      </c>
      <c r="AS17" s="33">
        <f>AM17+AN17</f>
        <v>0</v>
      </c>
      <c r="AT17" s="33">
        <f>G17/(100-AU17)*100</f>
        <v>0</v>
      </c>
      <c r="AU17" s="33">
        <v>0</v>
      </c>
      <c r="AV17" s="33">
        <f>L17</f>
        <v>0.055650000000000005</v>
      </c>
    </row>
    <row r="18" spans="1:37" ht="12.75">
      <c r="A18" s="5"/>
      <c r="B18" s="13"/>
      <c r="C18" s="13" t="s">
        <v>50</v>
      </c>
      <c r="D18" s="108" t="s">
        <v>98</v>
      </c>
      <c r="E18" s="109"/>
      <c r="F18" s="109"/>
      <c r="G18" s="109"/>
      <c r="H18" s="36">
        <f>SUM(H19:H19)</f>
        <v>0</v>
      </c>
      <c r="I18" s="36">
        <f>SUM(I19:I19)</f>
        <v>0</v>
      </c>
      <c r="J18" s="36">
        <f>H18+I18</f>
        <v>0</v>
      </c>
      <c r="K18" s="25"/>
      <c r="L18" s="36">
        <f>SUM(L19:L19)</f>
        <v>0</v>
      </c>
      <c r="M18" s="25"/>
      <c r="Y18" s="25"/>
      <c r="AI18" s="36">
        <f>SUM(Z19:Z19)</f>
        <v>0</v>
      </c>
      <c r="AJ18" s="36">
        <f>SUM(AA19:AA19)</f>
        <v>0</v>
      </c>
      <c r="AK18" s="36">
        <f>SUM(AB19:AB19)</f>
        <v>0</v>
      </c>
    </row>
    <row r="19" spans="1:48" ht="12.75">
      <c r="A19" s="4" t="s">
        <v>12</v>
      </c>
      <c r="B19" s="4"/>
      <c r="C19" s="4" t="s">
        <v>51</v>
      </c>
      <c r="D19" s="4" t="s">
        <v>99</v>
      </c>
      <c r="E19" s="4" t="s">
        <v>142</v>
      </c>
      <c r="F19" s="16">
        <v>23</v>
      </c>
      <c r="G19" s="16">
        <v>0</v>
      </c>
      <c r="H19" s="16">
        <f>F19*AE19</f>
        <v>0</v>
      </c>
      <c r="I19" s="16">
        <f>J19-H19</f>
        <v>0</v>
      </c>
      <c r="J19" s="16">
        <f>F19*G19</f>
        <v>0</v>
      </c>
      <c r="K19" s="16">
        <v>0</v>
      </c>
      <c r="L19" s="16">
        <f>F19*K19</f>
        <v>0</v>
      </c>
      <c r="M19" s="28" t="s">
        <v>163</v>
      </c>
      <c r="P19" s="33">
        <f>IF(AG19="5",J19,0)</f>
        <v>0</v>
      </c>
      <c r="R19" s="33">
        <f>IF(AG19="1",H19,0)</f>
        <v>0</v>
      </c>
      <c r="S19" s="33">
        <f>IF(AG19="1",I19,0)</f>
        <v>0</v>
      </c>
      <c r="T19" s="33">
        <f>IF(AG19="7",H19,0)</f>
        <v>0</v>
      </c>
      <c r="U19" s="33">
        <f>IF(AG19="7",I19,0)</f>
        <v>0</v>
      </c>
      <c r="V19" s="33">
        <f>IF(AG19="2",H19,0)</f>
        <v>0</v>
      </c>
      <c r="W19" s="33">
        <f>IF(AG19="2",I19,0)</f>
        <v>0</v>
      </c>
      <c r="X19" s="33">
        <f>IF(AG19="0",J19,0)</f>
        <v>0</v>
      </c>
      <c r="Y19" s="25"/>
      <c r="Z19" s="16">
        <f>IF(AD19=0,J19,0)</f>
        <v>0</v>
      </c>
      <c r="AA19" s="16">
        <f>IF(AD19=15,J19,0)</f>
        <v>0</v>
      </c>
      <c r="AB19" s="16">
        <f>IF(AD19=21,J19,0)</f>
        <v>0</v>
      </c>
      <c r="AD19" s="33">
        <v>21</v>
      </c>
      <c r="AE19" s="33">
        <f>G19*0</f>
        <v>0</v>
      </c>
      <c r="AF19" s="33">
        <f>G19*(1-0)</f>
        <v>0</v>
      </c>
      <c r="AG19" s="28" t="s">
        <v>7</v>
      </c>
      <c r="AM19" s="33">
        <f>F19*AE19</f>
        <v>0</v>
      </c>
      <c r="AN19" s="33">
        <f>F19*AF19</f>
        <v>0</v>
      </c>
      <c r="AO19" s="34" t="s">
        <v>174</v>
      </c>
      <c r="AP19" s="34" t="s">
        <v>183</v>
      </c>
      <c r="AQ19" s="25" t="s">
        <v>188</v>
      </c>
      <c r="AS19" s="33">
        <f>AM19+AN19</f>
        <v>0</v>
      </c>
      <c r="AT19" s="33">
        <f>G19/(100-AU19)*100</f>
        <v>0</v>
      </c>
      <c r="AU19" s="33">
        <v>0</v>
      </c>
      <c r="AV19" s="33">
        <f>L19</f>
        <v>0</v>
      </c>
    </row>
    <row r="20" spans="1:37" ht="12.75">
      <c r="A20" s="5"/>
      <c r="B20" s="13"/>
      <c r="C20" s="13" t="s">
        <v>52</v>
      </c>
      <c r="D20" s="108" t="s">
        <v>100</v>
      </c>
      <c r="E20" s="109"/>
      <c r="F20" s="109"/>
      <c r="G20" s="109"/>
      <c r="H20" s="36">
        <f>SUM(H21:H23)</f>
        <v>0</v>
      </c>
      <c r="I20" s="36">
        <f>SUM(I21:I23)</f>
        <v>0</v>
      </c>
      <c r="J20" s="36">
        <f>H20+I20</f>
        <v>0</v>
      </c>
      <c r="K20" s="25"/>
      <c r="L20" s="36">
        <f>SUM(L21:L23)</f>
        <v>0.5666</v>
      </c>
      <c r="M20" s="25"/>
      <c r="Y20" s="25"/>
      <c r="AI20" s="36">
        <f>SUM(Z21:Z23)</f>
        <v>0</v>
      </c>
      <c r="AJ20" s="36">
        <f>SUM(AA21:AA23)</f>
        <v>0</v>
      </c>
      <c r="AK20" s="36">
        <f>SUM(AB21:AB23)</f>
        <v>0</v>
      </c>
    </row>
    <row r="21" spans="1:48" ht="12.75">
      <c r="A21" s="4" t="s">
        <v>13</v>
      </c>
      <c r="B21" s="4"/>
      <c r="C21" s="4" t="s">
        <v>53</v>
      </c>
      <c r="D21" s="4" t="s">
        <v>101</v>
      </c>
      <c r="E21" s="4" t="s">
        <v>143</v>
      </c>
      <c r="F21" s="16">
        <v>1</v>
      </c>
      <c r="G21" s="16">
        <v>0</v>
      </c>
      <c r="H21" s="16">
        <f>F21*AE21</f>
        <v>0</v>
      </c>
      <c r="I21" s="16">
        <f>J21-H21</f>
        <v>0</v>
      </c>
      <c r="J21" s="16">
        <f>F21*G21</f>
        <v>0</v>
      </c>
      <c r="K21" s="16">
        <v>0.0002</v>
      </c>
      <c r="L21" s="16">
        <f>F21*K21</f>
        <v>0.0002</v>
      </c>
      <c r="M21" s="28" t="s">
        <v>163</v>
      </c>
      <c r="P21" s="33">
        <f>IF(AG21="5",J21,0)</f>
        <v>0</v>
      </c>
      <c r="R21" s="33">
        <f>IF(AG21="1",H21,0)</f>
        <v>0</v>
      </c>
      <c r="S21" s="33">
        <f>IF(AG21="1",I21,0)</f>
        <v>0</v>
      </c>
      <c r="T21" s="33">
        <f>IF(AG21="7",H21,0)</f>
        <v>0</v>
      </c>
      <c r="U21" s="33">
        <f>IF(AG21="7",I21,0)</f>
        <v>0</v>
      </c>
      <c r="V21" s="33">
        <f>IF(AG21="2",H21,0)</f>
        <v>0</v>
      </c>
      <c r="W21" s="33">
        <f>IF(AG21="2",I21,0)</f>
        <v>0</v>
      </c>
      <c r="X21" s="33">
        <f>IF(AG21="0",J21,0)</f>
        <v>0</v>
      </c>
      <c r="Y21" s="25"/>
      <c r="Z21" s="16">
        <f>IF(AD21=0,J21,0)</f>
        <v>0</v>
      </c>
      <c r="AA21" s="16">
        <f>IF(AD21=15,J21,0)</f>
        <v>0</v>
      </c>
      <c r="AB21" s="16">
        <f>IF(AD21=21,J21,0)</f>
        <v>0</v>
      </c>
      <c r="AD21" s="33">
        <v>21</v>
      </c>
      <c r="AE21" s="33">
        <f>G21*0.7665</f>
        <v>0</v>
      </c>
      <c r="AF21" s="33">
        <f>G21*(1-0.7665)</f>
        <v>0</v>
      </c>
      <c r="AG21" s="28" t="s">
        <v>13</v>
      </c>
      <c r="AM21" s="33">
        <f>F21*AE21</f>
        <v>0</v>
      </c>
      <c r="AN21" s="33">
        <f>F21*AF21</f>
        <v>0</v>
      </c>
      <c r="AO21" s="34" t="s">
        <v>175</v>
      </c>
      <c r="AP21" s="34" t="s">
        <v>184</v>
      </c>
      <c r="AQ21" s="25" t="s">
        <v>188</v>
      </c>
      <c r="AS21" s="33">
        <f>AM21+AN21</f>
        <v>0</v>
      </c>
      <c r="AT21" s="33">
        <f>G21/(100-AU21)*100</f>
        <v>0</v>
      </c>
      <c r="AU21" s="33">
        <v>0</v>
      </c>
      <c r="AV21" s="33">
        <f>L21</f>
        <v>0.0002</v>
      </c>
    </row>
    <row r="22" spans="1:48" ht="12.75">
      <c r="A22" s="4" t="s">
        <v>14</v>
      </c>
      <c r="B22" s="4"/>
      <c r="C22" s="4" t="s">
        <v>54</v>
      </c>
      <c r="D22" s="4" t="s">
        <v>102</v>
      </c>
      <c r="E22" s="4" t="s">
        <v>142</v>
      </c>
      <c r="F22" s="16">
        <v>16</v>
      </c>
      <c r="G22" s="16">
        <v>0</v>
      </c>
      <c r="H22" s="16">
        <f>F22*AE22</f>
        <v>0</v>
      </c>
      <c r="I22" s="16">
        <f>J22-H22</f>
        <v>0</v>
      </c>
      <c r="J22" s="16">
        <f>F22*G22</f>
        <v>0</v>
      </c>
      <c r="K22" s="16">
        <v>0.03265</v>
      </c>
      <c r="L22" s="16">
        <f>F22*K22</f>
        <v>0.5224</v>
      </c>
      <c r="M22" s="28" t="s">
        <v>163</v>
      </c>
      <c r="P22" s="33">
        <f>IF(AG22="5",J22,0)</f>
        <v>0</v>
      </c>
      <c r="R22" s="33">
        <f>IF(AG22="1",H22,0)</f>
        <v>0</v>
      </c>
      <c r="S22" s="33">
        <f>IF(AG22="1",I22,0)</f>
        <v>0</v>
      </c>
      <c r="T22" s="33">
        <f>IF(AG22="7",H22,0)</f>
        <v>0</v>
      </c>
      <c r="U22" s="33">
        <f>IF(AG22="7",I22,0)</f>
        <v>0</v>
      </c>
      <c r="V22" s="33">
        <f>IF(AG22="2",H22,0)</f>
        <v>0</v>
      </c>
      <c r="W22" s="33">
        <f>IF(AG22="2",I22,0)</f>
        <v>0</v>
      </c>
      <c r="X22" s="33">
        <f>IF(AG22="0",J22,0)</f>
        <v>0</v>
      </c>
      <c r="Y22" s="25"/>
      <c r="Z22" s="16">
        <f>IF(AD22=0,J22,0)</f>
        <v>0</v>
      </c>
      <c r="AA22" s="16">
        <f>IF(AD22=15,J22,0)</f>
        <v>0</v>
      </c>
      <c r="AB22" s="16">
        <f>IF(AD22=21,J22,0)</f>
        <v>0</v>
      </c>
      <c r="AD22" s="33">
        <v>21</v>
      </c>
      <c r="AE22" s="33">
        <f>G22*0</f>
        <v>0</v>
      </c>
      <c r="AF22" s="33">
        <f>G22*(1-0)</f>
        <v>0</v>
      </c>
      <c r="AG22" s="28" t="s">
        <v>13</v>
      </c>
      <c r="AM22" s="33">
        <f>F22*AE22</f>
        <v>0</v>
      </c>
      <c r="AN22" s="33">
        <f>F22*AF22</f>
        <v>0</v>
      </c>
      <c r="AO22" s="34" t="s">
        <v>175</v>
      </c>
      <c r="AP22" s="34" t="s">
        <v>184</v>
      </c>
      <c r="AQ22" s="25" t="s">
        <v>188</v>
      </c>
      <c r="AS22" s="33">
        <f>AM22+AN22</f>
        <v>0</v>
      </c>
      <c r="AT22" s="33">
        <f>G22/(100-AU22)*100</f>
        <v>0</v>
      </c>
      <c r="AU22" s="33">
        <v>0</v>
      </c>
      <c r="AV22" s="33">
        <f>L22</f>
        <v>0.5224</v>
      </c>
    </row>
    <row r="23" spans="1:48" ht="12.75">
      <c r="A23" s="6" t="s">
        <v>15</v>
      </c>
      <c r="B23" s="6"/>
      <c r="C23" s="6" t="s">
        <v>55</v>
      </c>
      <c r="D23" s="6" t="s">
        <v>103</v>
      </c>
      <c r="E23" s="6" t="s">
        <v>144</v>
      </c>
      <c r="F23" s="17">
        <v>1</v>
      </c>
      <c r="G23" s="17">
        <v>0</v>
      </c>
      <c r="H23" s="17">
        <f>F23*AE23</f>
        <v>0</v>
      </c>
      <c r="I23" s="17">
        <f>J23-H23</f>
        <v>0</v>
      </c>
      <c r="J23" s="17">
        <f>F23*G23</f>
        <v>0</v>
      </c>
      <c r="K23" s="17">
        <v>0.044</v>
      </c>
      <c r="L23" s="17">
        <f>F23*K23</f>
        <v>0.044</v>
      </c>
      <c r="M23" s="29" t="s">
        <v>163</v>
      </c>
      <c r="P23" s="33">
        <f>IF(AG23="5",J23,0)</f>
        <v>0</v>
      </c>
      <c r="R23" s="33">
        <f>IF(AG23="1",H23,0)</f>
        <v>0</v>
      </c>
      <c r="S23" s="33">
        <f>IF(AG23="1",I23,0)</f>
        <v>0</v>
      </c>
      <c r="T23" s="33">
        <f>IF(AG23="7",H23,0)</f>
        <v>0</v>
      </c>
      <c r="U23" s="33">
        <f>IF(AG23="7",I23,0)</f>
        <v>0</v>
      </c>
      <c r="V23" s="33">
        <f>IF(AG23="2",H23,0)</f>
        <v>0</v>
      </c>
      <c r="W23" s="33">
        <f>IF(AG23="2",I23,0)</f>
        <v>0</v>
      </c>
      <c r="X23" s="33">
        <f>IF(AG23="0",J23,0)</f>
        <v>0</v>
      </c>
      <c r="Y23" s="25"/>
      <c r="Z23" s="17">
        <f>IF(AD23=0,J23,0)</f>
        <v>0</v>
      </c>
      <c r="AA23" s="17">
        <f>IF(AD23=15,J23,0)</f>
        <v>0</v>
      </c>
      <c r="AB23" s="17">
        <f>IF(AD23=21,J23,0)</f>
        <v>0</v>
      </c>
      <c r="AD23" s="33">
        <v>21</v>
      </c>
      <c r="AE23" s="33">
        <f>G23*1</f>
        <v>0</v>
      </c>
      <c r="AF23" s="33">
        <f>G23*(1-1)</f>
        <v>0</v>
      </c>
      <c r="AG23" s="29" t="s">
        <v>13</v>
      </c>
      <c r="AM23" s="33">
        <f>F23*AE23</f>
        <v>0</v>
      </c>
      <c r="AN23" s="33">
        <f>F23*AF23</f>
        <v>0</v>
      </c>
      <c r="AO23" s="34" t="s">
        <v>175</v>
      </c>
      <c r="AP23" s="34" t="s">
        <v>184</v>
      </c>
      <c r="AQ23" s="25" t="s">
        <v>188</v>
      </c>
      <c r="AS23" s="33">
        <f>AM23+AN23</f>
        <v>0</v>
      </c>
      <c r="AT23" s="33">
        <f>G23/(100-AU23)*100</f>
        <v>0</v>
      </c>
      <c r="AU23" s="33">
        <v>0</v>
      </c>
      <c r="AV23" s="33">
        <f>L23</f>
        <v>0.044</v>
      </c>
    </row>
    <row r="24" spans="1:37" ht="12.75">
      <c r="A24" s="5"/>
      <c r="B24" s="13"/>
      <c r="C24" s="13" t="s">
        <v>56</v>
      </c>
      <c r="D24" s="108" t="s">
        <v>104</v>
      </c>
      <c r="E24" s="109"/>
      <c r="F24" s="109"/>
      <c r="G24" s="109"/>
      <c r="H24" s="36">
        <f>SUM(H25:H39)</f>
        <v>0</v>
      </c>
      <c r="I24" s="36">
        <f>SUM(I25:I39)</f>
        <v>0</v>
      </c>
      <c r="J24" s="36">
        <f>H24+I24</f>
        <v>0</v>
      </c>
      <c r="K24" s="25"/>
      <c r="L24" s="36">
        <f>SUM(L25:L39)</f>
        <v>0.35766099999999995</v>
      </c>
      <c r="M24" s="25"/>
      <c r="Y24" s="25"/>
      <c r="AI24" s="36">
        <f>SUM(Z25:Z39)</f>
        <v>0</v>
      </c>
      <c r="AJ24" s="36">
        <f>SUM(AA25:AA39)</f>
        <v>0</v>
      </c>
      <c r="AK24" s="36">
        <f>SUM(AB25:AB39)</f>
        <v>0</v>
      </c>
    </row>
    <row r="25" spans="1:48" ht="12.75">
      <c r="A25" s="4" t="s">
        <v>16</v>
      </c>
      <c r="B25" s="4"/>
      <c r="C25" s="4" t="s">
        <v>57</v>
      </c>
      <c r="D25" s="4" t="s">
        <v>105</v>
      </c>
      <c r="E25" s="4" t="s">
        <v>141</v>
      </c>
      <c r="F25" s="16">
        <v>23.8</v>
      </c>
      <c r="G25" s="16">
        <v>0</v>
      </c>
      <c r="H25" s="16">
        <f aca="true" t="shared" si="0" ref="H25:H39">F25*AE25</f>
        <v>0</v>
      </c>
      <c r="I25" s="16">
        <f aca="true" t="shared" si="1" ref="I25:I39">J25-H25</f>
        <v>0</v>
      </c>
      <c r="J25" s="16">
        <f aca="true" t="shared" si="2" ref="J25:J39">F25*G25</f>
        <v>0</v>
      </c>
      <c r="K25" s="16">
        <v>0</v>
      </c>
      <c r="L25" s="16">
        <f aca="true" t="shared" si="3" ref="L25:L39">F25*K25</f>
        <v>0</v>
      </c>
      <c r="M25" s="28" t="s">
        <v>163</v>
      </c>
      <c r="P25" s="33">
        <f aca="true" t="shared" si="4" ref="P25:P39">IF(AG25="5",J25,0)</f>
        <v>0</v>
      </c>
      <c r="R25" s="33">
        <f aca="true" t="shared" si="5" ref="R25:R39">IF(AG25="1",H25,0)</f>
        <v>0</v>
      </c>
      <c r="S25" s="33">
        <f aca="true" t="shared" si="6" ref="S25:S39">IF(AG25="1",I25,0)</f>
        <v>0</v>
      </c>
      <c r="T25" s="33">
        <f aca="true" t="shared" si="7" ref="T25:T39">IF(AG25="7",H25,0)</f>
        <v>0</v>
      </c>
      <c r="U25" s="33">
        <f aca="true" t="shared" si="8" ref="U25:U39">IF(AG25="7",I25,0)</f>
        <v>0</v>
      </c>
      <c r="V25" s="33">
        <f aca="true" t="shared" si="9" ref="V25:V39">IF(AG25="2",H25,0)</f>
        <v>0</v>
      </c>
      <c r="W25" s="33">
        <f aca="true" t="shared" si="10" ref="W25:W39">IF(AG25="2",I25,0)</f>
        <v>0</v>
      </c>
      <c r="X25" s="33">
        <f aca="true" t="shared" si="11" ref="X25:X39">IF(AG25="0",J25,0)</f>
        <v>0</v>
      </c>
      <c r="Y25" s="25"/>
      <c r="Z25" s="16">
        <f aca="true" t="shared" si="12" ref="Z25:Z39">IF(AD25=0,J25,0)</f>
        <v>0</v>
      </c>
      <c r="AA25" s="16">
        <f aca="true" t="shared" si="13" ref="AA25:AA39">IF(AD25=15,J25,0)</f>
        <v>0</v>
      </c>
      <c r="AB25" s="16">
        <f aca="true" t="shared" si="14" ref="AB25:AB39">IF(AD25=21,J25,0)</f>
        <v>0</v>
      </c>
      <c r="AD25" s="33">
        <v>21</v>
      </c>
      <c r="AE25" s="33">
        <f>G25*0</f>
        <v>0</v>
      </c>
      <c r="AF25" s="33">
        <f>G25*(1-0)</f>
        <v>0</v>
      </c>
      <c r="AG25" s="28" t="s">
        <v>13</v>
      </c>
      <c r="AM25" s="33">
        <f aca="true" t="shared" si="15" ref="AM25:AM39">F25*AE25</f>
        <v>0</v>
      </c>
      <c r="AN25" s="33">
        <f aca="true" t="shared" si="16" ref="AN25:AN39">F25*AF25</f>
        <v>0</v>
      </c>
      <c r="AO25" s="34" t="s">
        <v>176</v>
      </c>
      <c r="AP25" s="34" t="s">
        <v>185</v>
      </c>
      <c r="AQ25" s="25" t="s">
        <v>188</v>
      </c>
      <c r="AS25" s="33">
        <f aca="true" t="shared" si="17" ref="AS25:AS39">AM25+AN25</f>
        <v>0</v>
      </c>
      <c r="AT25" s="33">
        <f aca="true" t="shared" si="18" ref="AT25:AT39">G25/(100-AU25)*100</f>
        <v>0</v>
      </c>
      <c r="AU25" s="33">
        <v>0</v>
      </c>
      <c r="AV25" s="33">
        <f aca="true" t="shared" si="19" ref="AV25:AV39">L25</f>
        <v>0</v>
      </c>
    </row>
    <row r="26" spans="1:48" ht="12.75">
      <c r="A26" s="4" t="s">
        <v>17</v>
      </c>
      <c r="B26" s="4"/>
      <c r="C26" s="4" t="s">
        <v>58</v>
      </c>
      <c r="D26" s="4" t="s">
        <v>106</v>
      </c>
      <c r="E26" s="4" t="s">
        <v>142</v>
      </c>
      <c r="F26" s="16">
        <v>20.06</v>
      </c>
      <c r="G26" s="16">
        <v>0</v>
      </c>
      <c r="H26" s="16">
        <f t="shared" si="0"/>
        <v>0</v>
      </c>
      <c r="I26" s="16">
        <f t="shared" si="1"/>
        <v>0</v>
      </c>
      <c r="J26" s="16">
        <f t="shared" si="2"/>
        <v>0</v>
      </c>
      <c r="K26" s="16">
        <v>0.001</v>
      </c>
      <c r="L26" s="16">
        <f t="shared" si="3"/>
        <v>0.020059999999999998</v>
      </c>
      <c r="M26" s="28" t="s">
        <v>163</v>
      </c>
      <c r="P26" s="33">
        <f t="shared" si="4"/>
        <v>0</v>
      </c>
      <c r="R26" s="33">
        <f t="shared" si="5"/>
        <v>0</v>
      </c>
      <c r="S26" s="33">
        <f t="shared" si="6"/>
        <v>0</v>
      </c>
      <c r="T26" s="33">
        <f t="shared" si="7"/>
        <v>0</v>
      </c>
      <c r="U26" s="33">
        <f t="shared" si="8"/>
        <v>0</v>
      </c>
      <c r="V26" s="33">
        <f t="shared" si="9"/>
        <v>0</v>
      </c>
      <c r="W26" s="33">
        <f t="shared" si="10"/>
        <v>0</v>
      </c>
      <c r="X26" s="33">
        <f t="shared" si="11"/>
        <v>0</v>
      </c>
      <c r="Y26" s="25"/>
      <c r="Z26" s="16">
        <f t="shared" si="12"/>
        <v>0</v>
      </c>
      <c r="AA26" s="16">
        <f t="shared" si="13"/>
        <v>0</v>
      </c>
      <c r="AB26" s="16">
        <f t="shared" si="14"/>
        <v>0</v>
      </c>
      <c r="AD26" s="33">
        <v>21</v>
      </c>
      <c r="AE26" s="33">
        <f>G26*0</f>
        <v>0</v>
      </c>
      <c r="AF26" s="33">
        <f>G26*(1-0)</f>
        <v>0</v>
      </c>
      <c r="AG26" s="28" t="s">
        <v>13</v>
      </c>
      <c r="AM26" s="33">
        <f t="shared" si="15"/>
        <v>0</v>
      </c>
      <c r="AN26" s="33">
        <f t="shared" si="16"/>
        <v>0</v>
      </c>
      <c r="AO26" s="34" t="s">
        <v>176</v>
      </c>
      <c r="AP26" s="34" t="s">
        <v>185</v>
      </c>
      <c r="AQ26" s="25" t="s">
        <v>188</v>
      </c>
      <c r="AS26" s="33">
        <f t="shared" si="17"/>
        <v>0</v>
      </c>
      <c r="AT26" s="33">
        <f t="shared" si="18"/>
        <v>0</v>
      </c>
      <c r="AU26" s="33">
        <v>0</v>
      </c>
      <c r="AV26" s="33">
        <f t="shared" si="19"/>
        <v>0.020059999999999998</v>
      </c>
    </row>
    <row r="27" spans="1:48" ht="12.75">
      <c r="A27" s="4" t="s">
        <v>18</v>
      </c>
      <c r="B27" s="4"/>
      <c r="C27" s="4" t="s">
        <v>59</v>
      </c>
      <c r="D27" s="4" t="s">
        <v>107</v>
      </c>
      <c r="E27" s="4" t="s">
        <v>141</v>
      </c>
      <c r="F27" s="16">
        <v>18.8</v>
      </c>
      <c r="G27" s="16">
        <v>0</v>
      </c>
      <c r="H27" s="16">
        <f t="shared" si="0"/>
        <v>0</v>
      </c>
      <c r="I27" s="16">
        <f t="shared" si="1"/>
        <v>0</v>
      </c>
      <c r="J27" s="16">
        <f t="shared" si="2"/>
        <v>0</v>
      </c>
      <c r="K27" s="16">
        <v>0.0005</v>
      </c>
      <c r="L27" s="16">
        <f t="shared" si="3"/>
        <v>0.0094</v>
      </c>
      <c r="M27" s="28" t="s">
        <v>163</v>
      </c>
      <c r="P27" s="33">
        <f t="shared" si="4"/>
        <v>0</v>
      </c>
      <c r="R27" s="33">
        <f t="shared" si="5"/>
        <v>0</v>
      </c>
      <c r="S27" s="33">
        <f t="shared" si="6"/>
        <v>0</v>
      </c>
      <c r="T27" s="33">
        <f t="shared" si="7"/>
        <v>0</v>
      </c>
      <c r="U27" s="33">
        <f t="shared" si="8"/>
        <v>0</v>
      </c>
      <c r="V27" s="33">
        <f t="shared" si="9"/>
        <v>0</v>
      </c>
      <c r="W27" s="33">
        <f t="shared" si="10"/>
        <v>0</v>
      </c>
      <c r="X27" s="33">
        <f t="shared" si="11"/>
        <v>0</v>
      </c>
      <c r="Y27" s="25"/>
      <c r="Z27" s="16">
        <f t="shared" si="12"/>
        <v>0</v>
      </c>
      <c r="AA27" s="16">
        <f t="shared" si="13"/>
        <v>0</v>
      </c>
      <c r="AB27" s="16">
        <f t="shared" si="14"/>
        <v>0</v>
      </c>
      <c r="AD27" s="33">
        <v>21</v>
      </c>
      <c r="AE27" s="33">
        <f>G27*0</f>
        <v>0</v>
      </c>
      <c r="AF27" s="33">
        <f>G27*(1-0)</f>
        <v>0</v>
      </c>
      <c r="AG27" s="28" t="s">
        <v>13</v>
      </c>
      <c r="AM27" s="33">
        <f t="shared" si="15"/>
        <v>0</v>
      </c>
      <c r="AN27" s="33">
        <f t="shared" si="16"/>
        <v>0</v>
      </c>
      <c r="AO27" s="34" t="s">
        <v>176</v>
      </c>
      <c r="AP27" s="34" t="s">
        <v>185</v>
      </c>
      <c r="AQ27" s="25" t="s">
        <v>188</v>
      </c>
      <c r="AS27" s="33">
        <f t="shared" si="17"/>
        <v>0</v>
      </c>
      <c r="AT27" s="33">
        <f t="shared" si="18"/>
        <v>0</v>
      </c>
      <c r="AU27" s="33">
        <v>0</v>
      </c>
      <c r="AV27" s="33">
        <f t="shared" si="19"/>
        <v>0.0094</v>
      </c>
    </row>
    <row r="28" spans="1:48" ht="12.75">
      <c r="A28" s="4" t="s">
        <v>19</v>
      </c>
      <c r="B28" s="4"/>
      <c r="C28" s="4" t="s">
        <v>60</v>
      </c>
      <c r="D28" s="4" t="s">
        <v>108</v>
      </c>
      <c r="E28" s="4" t="s">
        <v>142</v>
      </c>
      <c r="F28" s="16">
        <v>23</v>
      </c>
      <c r="G28" s="16">
        <v>0</v>
      </c>
      <c r="H28" s="16">
        <f t="shared" si="0"/>
        <v>0</v>
      </c>
      <c r="I28" s="16">
        <f t="shared" si="1"/>
        <v>0</v>
      </c>
      <c r="J28" s="16">
        <f t="shared" si="2"/>
        <v>0</v>
      </c>
      <c r="K28" s="16">
        <v>0</v>
      </c>
      <c r="L28" s="16">
        <f t="shared" si="3"/>
        <v>0</v>
      </c>
      <c r="M28" s="28" t="s">
        <v>163</v>
      </c>
      <c r="P28" s="33">
        <f t="shared" si="4"/>
        <v>0</v>
      </c>
      <c r="R28" s="33">
        <f t="shared" si="5"/>
        <v>0</v>
      </c>
      <c r="S28" s="33">
        <f t="shared" si="6"/>
        <v>0</v>
      </c>
      <c r="T28" s="33">
        <f t="shared" si="7"/>
        <v>0</v>
      </c>
      <c r="U28" s="33">
        <f t="shared" si="8"/>
        <v>0</v>
      </c>
      <c r="V28" s="33">
        <f t="shared" si="9"/>
        <v>0</v>
      </c>
      <c r="W28" s="33">
        <f t="shared" si="10"/>
        <v>0</v>
      </c>
      <c r="X28" s="33">
        <f t="shared" si="11"/>
        <v>0</v>
      </c>
      <c r="Y28" s="25"/>
      <c r="Z28" s="16">
        <f t="shared" si="12"/>
        <v>0</v>
      </c>
      <c r="AA28" s="16">
        <f t="shared" si="13"/>
        <v>0</v>
      </c>
      <c r="AB28" s="16">
        <f t="shared" si="14"/>
        <v>0</v>
      </c>
      <c r="AD28" s="33">
        <v>21</v>
      </c>
      <c r="AE28" s="33">
        <f>G28*0</f>
        <v>0</v>
      </c>
      <c r="AF28" s="33">
        <f>G28*(1-0)</f>
        <v>0</v>
      </c>
      <c r="AG28" s="28" t="s">
        <v>13</v>
      </c>
      <c r="AM28" s="33">
        <f t="shared" si="15"/>
        <v>0</v>
      </c>
      <c r="AN28" s="33">
        <f t="shared" si="16"/>
        <v>0</v>
      </c>
      <c r="AO28" s="34" t="s">
        <v>176</v>
      </c>
      <c r="AP28" s="34" t="s">
        <v>185</v>
      </c>
      <c r="AQ28" s="25" t="s">
        <v>188</v>
      </c>
      <c r="AS28" s="33">
        <f t="shared" si="17"/>
        <v>0</v>
      </c>
      <c r="AT28" s="33">
        <f t="shared" si="18"/>
        <v>0</v>
      </c>
      <c r="AU28" s="33">
        <v>0</v>
      </c>
      <c r="AV28" s="33">
        <f t="shared" si="19"/>
        <v>0</v>
      </c>
    </row>
    <row r="29" spans="1:48" ht="12.75">
      <c r="A29" s="4" t="s">
        <v>20</v>
      </c>
      <c r="B29" s="4"/>
      <c r="C29" s="4" t="s">
        <v>61</v>
      </c>
      <c r="D29" s="4" t="s">
        <v>109</v>
      </c>
      <c r="E29" s="4" t="s">
        <v>142</v>
      </c>
      <c r="F29" s="16">
        <v>23</v>
      </c>
      <c r="G29" s="16">
        <v>0</v>
      </c>
      <c r="H29" s="16">
        <f t="shared" si="0"/>
        <v>0</v>
      </c>
      <c r="I29" s="16">
        <f t="shared" si="1"/>
        <v>0</v>
      </c>
      <c r="J29" s="16">
        <f t="shared" si="2"/>
        <v>0</v>
      </c>
      <c r="K29" s="16">
        <v>0.00892</v>
      </c>
      <c r="L29" s="16">
        <f t="shared" si="3"/>
        <v>0.20516</v>
      </c>
      <c r="M29" s="28" t="s">
        <v>163</v>
      </c>
      <c r="P29" s="33">
        <f t="shared" si="4"/>
        <v>0</v>
      </c>
      <c r="R29" s="33">
        <f t="shared" si="5"/>
        <v>0</v>
      </c>
      <c r="S29" s="33">
        <f t="shared" si="6"/>
        <v>0</v>
      </c>
      <c r="T29" s="33">
        <f t="shared" si="7"/>
        <v>0</v>
      </c>
      <c r="U29" s="33">
        <f t="shared" si="8"/>
        <v>0</v>
      </c>
      <c r="V29" s="33">
        <f t="shared" si="9"/>
        <v>0</v>
      </c>
      <c r="W29" s="33">
        <f t="shared" si="10"/>
        <v>0</v>
      </c>
      <c r="X29" s="33">
        <f t="shared" si="11"/>
        <v>0</v>
      </c>
      <c r="Y29" s="25"/>
      <c r="Z29" s="16">
        <f t="shared" si="12"/>
        <v>0</v>
      </c>
      <c r="AA29" s="16">
        <f t="shared" si="13"/>
        <v>0</v>
      </c>
      <c r="AB29" s="16">
        <f t="shared" si="14"/>
        <v>0</v>
      </c>
      <c r="AD29" s="33">
        <v>21</v>
      </c>
      <c r="AE29" s="33">
        <f>G29*0.634100168731223</f>
        <v>0</v>
      </c>
      <c r="AF29" s="33">
        <f>G29*(1-0.634100168731223)</f>
        <v>0</v>
      </c>
      <c r="AG29" s="28" t="s">
        <v>13</v>
      </c>
      <c r="AM29" s="33">
        <f t="shared" si="15"/>
        <v>0</v>
      </c>
      <c r="AN29" s="33">
        <f t="shared" si="16"/>
        <v>0</v>
      </c>
      <c r="AO29" s="34" t="s">
        <v>176</v>
      </c>
      <c r="AP29" s="34" t="s">
        <v>185</v>
      </c>
      <c r="AQ29" s="25" t="s">
        <v>188</v>
      </c>
      <c r="AS29" s="33">
        <f t="shared" si="17"/>
        <v>0</v>
      </c>
      <c r="AT29" s="33">
        <f t="shared" si="18"/>
        <v>0</v>
      </c>
      <c r="AU29" s="33">
        <v>0</v>
      </c>
      <c r="AV29" s="33">
        <f t="shared" si="19"/>
        <v>0.20516</v>
      </c>
    </row>
    <row r="30" spans="1:48" ht="12.75">
      <c r="A30" s="4" t="s">
        <v>21</v>
      </c>
      <c r="B30" s="4"/>
      <c r="C30" s="4" t="s">
        <v>62</v>
      </c>
      <c r="D30" s="4" t="s">
        <v>110</v>
      </c>
      <c r="E30" s="4" t="s">
        <v>142</v>
      </c>
      <c r="F30" s="16">
        <v>20.06</v>
      </c>
      <c r="G30" s="16">
        <v>0</v>
      </c>
      <c r="H30" s="16">
        <f t="shared" si="0"/>
        <v>0</v>
      </c>
      <c r="I30" s="16">
        <f t="shared" si="1"/>
        <v>0</v>
      </c>
      <c r="J30" s="16">
        <f t="shared" si="2"/>
        <v>0</v>
      </c>
      <c r="K30" s="16">
        <v>0.00025</v>
      </c>
      <c r="L30" s="16">
        <f t="shared" si="3"/>
        <v>0.0050149999999999995</v>
      </c>
      <c r="M30" s="28" t="s">
        <v>163</v>
      </c>
      <c r="P30" s="33">
        <f t="shared" si="4"/>
        <v>0</v>
      </c>
      <c r="R30" s="33">
        <f t="shared" si="5"/>
        <v>0</v>
      </c>
      <c r="S30" s="33">
        <f t="shared" si="6"/>
        <v>0</v>
      </c>
      <c r="T30" s="33">
        <f t="shared" si="7"/>
        <v>0</v>
      </c>
      <c r="U30" s="33">
        <f t="shared" si="8"/>
        <v>0</v>
      </c>
      <c r="V30" s="33">
        <f t="shared" si="9"/>
        <v>0</v>
      </c>
      <c r="W30" s="33">
        <f t="shared" si="10"/>
        <v>0</v>
      </c>
      <c r="X30" s="33">
        <f t="shared" si="11"/>
        <v>0</v>
      </c>
      <c r="Y30" s="25"/>
      <c r="Z30" s="16">
        <f t="shared" si="12"/>
        <v>0</v>
      </c>
      <c r="AA30" s="16">
        <f t="shared" si="13"/>
        <v>0</v>
      </c>
      <c r="AB30" s="16">
        <f t="shared" si="14"/>
        <v>0</v>
      </c>
      <c r="AD30" s="33">
        <v>21</v>
      </c>
      <c r="AE30" s="33">
        <f>G30*0.399021406727829</f>
        <v>0</v>
      </c>
      <c r="AF30" s="33">
        <f>G30*(1-0.399021406727829)</f>
        <v>0</v>
      </c>
      <c r="AG30" s="28" t="s">
        <v>13</v>
      </c>
      <c r="AM30" s="33">
        <f t="shared" si="15"/>
        <v>0</v>
      </c>
      <c r="AN30" s="33">
        <f t="shared" si="16"/>
        <v>0</v>
      </c>
      <c r="AO30" s="34" t="s">
        <v>176</v>
      </c>
      <c r="AP30" s="34" t="s">
        <v>185</v>
      </c>
      <c r="AQ30" s="25" t="s">
        <v>188</v>
      </c>
      <c r="AS30" s="33">
        <f t="shared" si="17"/>
        <v>0</v>
      </c>
      <c r="AT30" s="33">
        <f t="shared" si="18"/>
        <v>0</v>
      </c>
      <c r="AU30" s="33">
        <v>0</v>
      </c>
      <c r="AV30" s="33">
        <f t="shared" si="19"/>
        <v>0.0050149999999999995</v>
      </c>
    </row>
    <row r="31" spans="1:48" ht="12.75">
      <c r="A31" s="4" t="s">
        <v>22</v>
      </c>
      <c r="B31" s="4"/>
      <c r="C31" s="4" t="s">
        <v>63</v>
      </c>
      <c r="D31" s="4" t="s">
        <v>111</v>
      </c>
      <c r="E31" s="4" t="s">
        <v>141</v>
      </c>
      <c r="F31" s="16">
        <v>15</v>
      </c>
      <c r="G31" s="16">
        <v>0</v>
      </c>
      <c r="H31" s="16">
        <f t="shared" si="0"/>
        <v>0</v>
      </c>
      <c r="I31" s="16">
        <f t="shared" si="1"/>
        <v>0</v>
      </c>
      <c r="J31" s="16">
        <f t="shared" si="2"/>
        <v>0</v>
      </c>
      <c r="K31" s="16">
        <v>4E-05</v>
      </c>
      <c r="L31" s="16">
        <f t="shared" si="3"/>
        <v>0.0006000000000000001</v>
      </c>
      <c r="M31" s="28" t="s">
        <v>163</v>
      </c>
      <c r="P31" s="33">
        <f t="shared" si="4"/>
        <v>0</v>
      </c>
      <c r="R31" s="33">
        <f t="shared" si="5"/>
        <v>0</v>
      </c>
      <c r="S31" s="33">
        <f t="shared" si="6"/>
        <v>0</v>
      </c>
      <c r="T31" s="33">
        <f t="shared" si="7"/>
        <v>0</v>
      </c>
      <c r="U31" s="33">
        <f t="shared" si="8"/>
        <v>0</v>
      </c>
      <c r="V31" s="33">
        <f t="shared" si="9"/>
        <v>0</v>
      </c>
      <c r="W31" s="33">
        <f t="shared" si="10"/>
        <v>0</v>
      </c>
      <c r="X31" s="33">
        <f t="shared" si="11"/>
        <v>0</v>
      </c>
      <c r="Y31" s="25"/>
      <c r="Z31" s="16">
        <f t="shared" si="12"/>
        <v>0</v>
      </c>
      <c r="AA31" s="16">
        <f t="shared" si="13"/>
        <v>0</v>
      </c>
      <c r="AB31" s="16">
        <f t="shared" si="14"/>
        <v>0</v>
      </c>
      <c r="AD31" s="33">
        <v>21</v>
      </c>
      <c r="AE31" s="33">
        <f>G31*0.256666666666667</f>
        <v>0</v>
      </c>
      <c r="AF31" s="33">
        <f>G31*(1-0.256666666666667)</f>
        <v>0</v>
      </c>
      <c r="AG31" s="28" t="s">
        <v>13</v>
      </c>
      <c r="AM31" s="33">
        <f t="shared" si="15"/>
        <v>0</v>
      </c>
      <c r="AN31" s="33">
        <f t="shared" si="16"/>
        <v>0</v>
      </c>
      <c r="AO31" s="34" t="s">
        <v>176</v>
      </c>
      <c r="AP31" s="34" t="s">
        <v>185</v>
      </c>
      <c r="AQ31" s="25" t="s">
        <v>188</v>
      </c>
      <c r="AS31" s="33">
        <f t="shared" si="17"/>
        <v>0</v>
      </c>
      <c r="AT31" s="33">
        <f t="shared" si="18"/>
        <v>0</v>
      </c>
      <c r="AU31" s="33">
        <v>0</v>
      </c>
      <c r="AV31" s="33">
        <f t="shared" si="19"/>
        <v>0.0006000000000000001</v>
      </c>
    </row>
    <row r="32" spans="1:48" ht="12.75">
      <c r="A32" s="6" t="s">
        <v>23</v>
      </c>
      <c r="B32" s="6"/>
      <c r="C32" s="6" t="s">
        <v>64</v>
      </c>
      <c r="D32" s="6" t="s">
        <v>112</v>
      </c>
      <c r="E32" s="6" t="s">
        <v>142</v>
      </c>
      <c r="F32" s="17">
        <v>30</v>
      </c>
      <c r="G32" s="17">
        <v>0</v>
      </c>
      <c r="H32" s="17">
        <f t="shared" si="0"/>
        <v>0</v>
      </c>
      <c r="I32" s="17">
        <f t="shared" si="1"/>
        <v>0</v>
      </c>
      <c r="J32" s="17">
        <f t="shared" si="2"/>
        <v>0</v>
      </c>
      <c r="K32" s="17">
        <v>0.0035</v>
      </c>
      <c r="L32" s="17">
        <f t="shared" si="3"/>
        <v>0.105</v>
      </c>
      <c r="M32" s="29" t="s">
        <v>163</v>
      </c>
      <c r="P32" s="33">
        <f t="shared" si="4"/>
        <v>0</v>
      </c>
      <c r="R32" s="33">
        <f t="shared" si="5"/>
        <v>0</v>
      </c>
      <c r="S32" s="33">
        <f t="shared" si="6"/>
        <v>0</v>
      </c>
      <c r="T32" s="33">
        <f t="shared" si="7"/>
        <v>0</v>
      </c>
      <c r="U32" s="33">
        <f t="shared" si="8"/>
        <v>0</v>
      </c>
      <c r="V32" s="33">
        <f t="shared" si="9"/>
        <v>0</v>
      </c>
      <c r="W32" s="33">
        <f t="shared" si="10"/>
        <v>0</v>
      </c>
      <c r="X32" s="33">
        <f t="shared" si="11"/>
        <v>0</v>
      </c>
      <c r="Y32" s="25"/>
      <c r="Z32" s="17">
        <f t="shared" si="12"/>
        <v>0</v>
      </c>
      <c r="AA32" s="17">
        <f t="shared" si="13"/>
        <v>0</v>
      </c>
      <c r="AB32" s="17">
        <f t="shared" si="14"/>
        <v>0</v>
      </c>
      <c r="AD32" s="33">
        <v>21</v>
      </c>
      <c r="AE32" s="33">
        <f>G32*1</f>
        <v>0</v>
      </c>
      <c r="AF32" s="33">
        <f>G32*(1-1)</f>
        <v>0</v>
      </c>
      <c r="AG32" s="29" t="s">
        <v>13</v>
      </c>
      <c r="AM32" s="33">
        <f t="shared" si="15"/>
        <v>0</v>
      </c>
      <c r="AN32" s="33">
        <f t="shared" si="16"/>
        <v>0</v>
      </c>
      <c r="AO32" s="34" t="s">
        <v>176</v>
      </c>
      <c r="AP32" s="34" t="s">
        <v>185</v>
      </c>
      <c r="AQ32" s="25" t="s">
        <v>188</v>
      </c>
      <c r="AS32" s="33">
        <f t="shared" si="17"/>
        <v>0</v>
      </c>
      <c r="AT32" s="33">
        <f t="shared" si="18"/>
        <v>0</v>
      </c>
      <c r="AU32" s="33">
        <v>0</v>
      </c>
      <c r="AV32" s="33">
        <f t="shared" si="19"/>
        <v>0.105</v>
      </c>
    </row>
    <row r="33" spans="1:48" ht="12.75">
      <c r="A33" s="4" t="s">
        <v>24</v>
      </c>
      <c r="B33" s="4"/>
      <c r="C33" s="4" t="s">
        <v>65</v>
      </c>
      <c r="D33" s="4" t="s">
        <v>113</v>
      </c>
      <c r="E33" s="4" t="s">
        <v>141</v>
      </c>
      <c r="F33" s="16">
        <v>23.8</v>
      </c>
      <c r="G33" s="16">
        <v>0</v>
      </c>
      <c r="H33" s="16">
        <f t="shared" si="0"/>
        <v>0</v>
      </c>
      <c r="I33" s="16">
        <f t="shared" si="1"/>
        <v>0</v>
      </c>
      <c r="J33" s="16">
        <f t="shared" si="2"/>
        <v>0</v>
      </c>
      <c r="K33" s="16">
        <v>8E-05</v>
      </c>
      <c r="L33" s="16">
        <f t="shared" si="3"/>
        <v>0.0019040000000000003</v>
      </c>
      <c r="M33" s="28" t="s">
        <v>163</v>
      </c>
      <c r="P33" s="33">
        <f t="shared" si="4"/>
        <v>0</v>
      </c>
      <c r="R33" s="33">
        <f t="shared" si="5"/>
        <v>0</v>
      </c>
      <c r="S33" s="33">
        <f t="shared" si="6"/>
        <v>0</v>
      </c>
      <c r="T33" s="33">
        <f t="shared" si="7"/>
        <v>0</v>
      </c>
      <c r="U33" s="33">
        <f t="shared" si="8"/>
        <v>0</v>
      </c>
      <c r="V33" s="33">
        <f t="shared" si="9"/>
        <v>0</v>
      </c>
      <c r="W33" s="33">
        <f t="shared" si="10"/>
        <v>0</v>
      </c>
      <c r="X33" s="33">
        <f t="shared" si="11"/>
        <v>0</v>
      </c>
      <c r="Y33" s="25"/>
      <c r="Z33" s="16">
        <f t="shared" si="12"/>
        <v>0</v>
      </c>
      <c r="AA33" s="16">
        <f t="shared" si="13"/>
        <v>0</v>
      </c>
      <c r="AB33" s="16">
        <f t="shared" si="14"/>
        <v>0</v>
      </c>
      <c r="AD33" s="33">
        <v>21</v>
      </c>
      <c r="AE33" s="33">
        <f>G33*0.353180661577608</f>
        <v>0</v>
      </c>
      <c r="AF33" s="33">
        <f>G33*(1-0.353180661577608)</f>
        <v>0</v>
      </c>
      <c r="AG33" s="28" t="s">
        <v>13</v>
      </c>
      <c r="AM33" s="33">
        <f t="shared" si="15"/>
        <v>0</v>
      </c>
      <c r="AN33" s="33">
        <f t="shared" si="16"/>
        <v>0</v>
      </c>
      <c r="AO33" s="34" t="s">
        <v>176</v>
      </c>
      <c r="AP33" s="34" t="s">
        <v>185</v>
      </c>
      <c r="AQ33" s="25" t="s">
        <v>188</v>
      </c>
      <c r="AS33" s="33">
        <f t="shared" si="17"/>
        <v>0</v>
      </c>
      <c r="AT33" s="33">
        <f t="shared" si="18"/>
        <v>0</v>
      </c>
      <c r="AU33" s="33">
        <v>0</v>
      </c>
      <c r="AV33" s="33">
        <f t="shared" si="19"/>
        <v>0.0019040000000000003</v>
      </c>
    </row>
    <row r="34" spans="1:48" ht="12.75">
      <c r="A34" s="4" t="s">
        <v>25</v>
      </c>
      <c r="B34" s="4"/>
      <c r="C34" s="4" t="s">
        <v>66</v>
      </c>
      <c r="D34" s="4" t="s">
        <v>114</v>
      </c>
      <c r="E34" s="4" t="s">
        <v>141</v>
      </c>
      <c r="F34" s="16">
        <v>8.3</v>
      </c>
      <c r="G34" s="16">
        <v>0</v>
      </c>
      <c r="H34" s="16">
        <f t="shared" si="0"/>
        <v>0</v>
      </c>
      <c r="I34" s="16">
        <f t="shared" si="1"/>
        <v>0</v>
      </c>
      <c r="J34" s="16">
        <f t="shared" si="2"/>
        <v>0</v>
      </c>
      <c r="K34" s="16">
        <v>9E-05</v>
      </c>
      <c r="L34" s="16">
        <f t="shared" si="3"/>
        <v>0.0007470000000000002</v>
      </c>
      <c r="M34" s="28" t="s">
        <v>163</v>
      </c>
      <c r="P34" s="33">
        <f t="shared" si="4"/>
        <v>0</v>
      </c>
      <c r="R34" s="33">
        <f t="shared" si="5"/>
        <v>0</v>
      </c>
      <c r="S34" s="33">
        <f t="shared" si="6"/>
        <v>0</v>
      </c>
      <c r="T34" s="33">
        <f t="shared" si="7"/>
        <v>0</v>
      </c>
      <c r="U34" s="33">
        <f t="shared" si="8"/>
        <v>0</v>
      </c>
      <c r="V34" s="33">
        <f t="shared" si="9"/>
        <v>0</v>
      </c>
      <c r="W34" s="33">
        <f t="shared" si="10"/>
        <v>0</v>
      </c>
      <c r="X34" s="33">
        <f t="shared" si="11"/>
        <v>0</v>
      </c>
      <c r="Y34" s="25"/>
      <c r="Z34" s="16">
        <f t="shared" si="12"/>
        <v>0</v>
      </c>
      <c r="AA34" s="16">
        <f t="shared" si="13"/>
        <v>0</v>
      </c>
      <c r="AB34" s="16">
        <f t="shared" si="14"/>
        <v>0</v>
      </c>
      <c r="AD34" s="33">
        <v>21</v>
      </c>
      <c r="AE34" s="33">
        <f>G34*0.126685552407932</f>
        <v>0</v>
      </c>
      <c r="AF34" s="33">
        <f>G34*(1-0.126685552407932)</f>
        <v>0</v>
      </c>
      <c r="AG34" s="28" t="s">
        <v>13</v>
      </c>
      <c r="AM34" s="33">
        <f t="shared" si="15"/>
        <v>0</v>
      </c>
      <c r="AN34" s="33">
        <f t="shared" si="16"/>
        <v>0</v>
      </c>
      <c r="AO34" s="34" t="s">
        <v>176</v>
      </c>
      <c r="AP34" s="34" t="s">
        <v>185</v>
      </c>
      <c r="AQ34" s="25" t="s">
        <v>188</v>
      </c>
      <c r="AS34" s="33">
        <f t="shared" si="17"/>
        <v>0</v>
      </c>
      <c r="AT34" s="33">
        <f t="shared" si="18"/>
        <v>0</v>
      </c>
      <c r="AU34" s="33">
        <v>0</v>
      </c>
      <c r="AV34" s="33">
        <f t="shared" si="19"/>
        <v>0.0007470000000000002</v>
      </c>
    </row>
    <row r="35" spans="1:48" ht="12.75">
      <c r="A35" s="4" t="s">
        <v>26</v>
      </c>
      <c r="B35" s="4"/>
      <c r="C35" s="4" t="s">
        <v>67</v>
      </c>
      <c r="D35" s="4" t="s">
        <v>115</v>
      </c>
      <c r="E35" s="4" t="s">
        <v>141</v>
      </c>
      <c r="F35" s="16">
        <v>10.5</v>
      </c>
      <c r="G35" s="16">
        <v>0</v>
      </c>
      <c r="H35" s="16">
        <f t="shared" si="0"/>
        <v>0</v>
      </c>
      <c r="I35" s="16">
        <f t="shared" si="1"/>
        <v>0</v>
      </c>
      <c r="J35" s="16">
        <f t="shared" si="2"/>
        <v>0</v>
      </c>
      <c r="K35" s="16">
        <v>5E-05</v>
      </c>
      <c r="L35" s="16">
        <f t="shared" si="3"/>
        <v>0.0005250000000000001</v>
      </c>
      <c r="M35" s="28" t="s">
        <v>163</v>
      </c>
      <c r="P35" s="33">
        <f t="shared" si="4"/>
        <v>0</v>
      </c>
      <c r="R35" s="33">
        <f t="shared" si="5"/>
        <v>0</v>
      </c>
      <c r="S35" s="33">
        <f t="shared" si="6"/>
        <v>0</v>
      </c>
      <c r="T35" s="33">
        <f t="shared" si="7"/>
        <v>0</v>
      </c>
      <c r="U35" s="33">
        <f t="shared" si="8"/>
        <v>0</v>
      </c>
      <c r="V35" s="33">
        <f t="shared" si="9"/>
        <v>0</v>
      </c>
      <c r="W35" s="33">
        <f t="shared" si="10"/>
        <v>0</v>
      </c>
      <c r="X35" s="33">
        <f t="shared" si="11"/>
        <v>0</v>
      </c>
      <c r="Y35" s="25"/>
      <c r="Z35" s="16">
        <f t="shared" si="12"/>
        <v>0</v>
      </c>
      <c r="AA35" s="16">
        <f t="shared" si="13"/>
        <v>0</v>
      </c>
      <c r="AB35" s="16">
        <f t="shared" si="14"/>
        <v>0</v>
      </c>
      <c r="AD35" s="33">
        <v>21</v>
      </c>
      <c r="AE35" s="33">
        <f>G35*0.0635294117647059</f>
        <v>0</v>
      </c>
      <c r="AF35" s="33">
        <f>G35*(1-0.0635294117647059)</f>
        <v>0</v>
      </c>
      <c r="AG35" s="28" t="s">
        <v>13</v>
      </c>
      <c r="AM35" s="33">
        <f t="shared" si="15"/>
        <v>0</v>
      </c>
      <c r="AN35" s="33">
        <f t="shared" si="16"/>
        <v>0</v>
      </c>
      <c r="AO35" s="34" t="s">
        <v>176</v>
      </c>
      <c r="AP35" s="34" t="s">
        <v>185</v>
      </c>
      <c r="AQ35" s="25" t="s">
        <v>188</v>
      </c>
      <c r="AS35" s="33">
        <f t="shared" si="17"/>
        <v>0</v>
      </c>
      <c r="AT35" s="33">
        <f t="shared" si="18"/>
        <v>0</v>
      </c>
      <c r="AU35" s="33">
        <v>0</v>
      </c>
      <c r="AV35" s="33">
        <f t="shared" si="19"/>
        <v>0.0005250000000000001</v>
      </c>
    </row>
    <row r="36" spans="1:48" ht="12.75">
      <c r="A36" s="4" t="s">
        <v>27</v>
      </c>
      <c r="B36" s="4"/>
      <c r="C36" s="4" t="s">
        <v>68</v>
      </c>
      <c r="D36" s="4" t="s">
        <v>116</v>
      </c>
      <c r="E36" s="4" t="s">
        <v>141</v>
      </c>
      <c r="F36" s="16">
        <v>5</v>
      </c>
      <c r="G36" s="16">
        <v>0</v>
      </c>
      <c r="H36" s="16">
        <f t="shared" si="0"/>
        <v>0</v>
      </c>
      <c r="I36" s="16">
        <f t="shared" si="1"/>
        <v>0</v>
      </c>
      <c r="J36" s="16">
        <f t="shared" si="2"/>
        <v>0</v>
      </c>
      <c r="K36" s="16">
        <v>0.00074</v>
      </c>
      <c r="L36" s="16">
        <f t="shared" si="3"/>
        <v>0.0037</v>
      </c>
      <c r="M36" s="28" t="s">
        <v>163</v>
      </c>
      <c r="P36" s="33">
        <f t="shared" si="4"/>
        <v>0</v>
      </c>
      <c r="R36" s="33">
        <f t="shared" si="5"/>
        <v>0</v>
      </c>
      <c r="S36" s="33">
        <f t="shared" si="6"/>
        <v>0</v>
      </c>
      <c r="T36" s="33">
        <f t="shared" si="7"/>
        <v>0</v>
      </c>
      <c r="U36" s="33">
        <f t="shared" si="8"/>
        <v>0</v>
      </c>
      <c r="V36" s="33">
        <f t="shared" si="9"/>
        <v>0</v>
      </c>
      <c r="W36" s="33">
        <f t="shared" si="10"/>
        <v>0</v>
      </c>
      <c r="X36" s="33">
        <f t="shared" si="11"/>
        <v>0</v>
      </c>
      <c r="Y36" s="25"/>
      <c r="Z36" s="16">
        <f t="shared" si="12"/>
        <v>0</v>
      </c>
      <c r="AA36" s="16">
        <f t="shared" si="13"/>
        <v>0</v>
      </c>
      <c r="AB36" s="16">
        <f t="shared" si="14"/>
        <v>0</v>
      </c>
      <c r="AD36" s="33">
        <v>21</v>
      </c>
      <c r="AE36" s="33">
        <f>G36*0.665364806866953</f>
        <v>0</v>
      </c>
      <c r="AF36" s="33">
        <f>G36*(1-0.665364806866953)</f>
        <v>0</v>
      </c>
      <c r="AG36" s="28" t="s">
        <v>13</v>
      </c>
      <c r="AM36" s="33">
        <f t="shared" si="15"/>
        <v>0</v>
      </c>
      <c r="AN36" s="33">
        <f t="shared" si="16"/>
        <v>0</v>
      </c>
      <c r="AO36" s="34" t="s">
        <v>176</v>
      </c>
      <c r="AP36" s="34" t="s">
        <v>185</v>
      </c>
      <c r="AQ36" s="25" t="s">
        <v>188</v>
      </c>
      <c r="AS36" s="33">
        <f t="shared" si="17"/>
        <v>0</v>
      </c>
      <c r="AT36" s="33">
        <f t="shared" si="18"/>
        <v>0</v>
      </c>
      <c r="AU36" s="33">
        <v>0</v>
      </c>
      <c r="AV36" s="33">
        <f t="shared" si="19"/>
        <v>0.0037</v>
      </c>
    </row>
    <row r="37" spans="1:48" ht="12.75">
      <c r="A37" s="4" t="s">
        <v>28</v>
      </c>
      <c r="B37" s="4"/>
      <c r="C37" s="4" t="s">
        <v>69</v>
      </c>
      <c r="D37" s="4" t="s">
        <v>117</v>
      </c>
      <c r="E37" s="4" t="s">
        <v>141</v>
      </c>
      <c r="F37" s="16">
        <v>7.5</v>
      </c>
      <c r="G37" s="16">
        <v>0</v>
      </c>
      <c r="H37" s="16">
        <f t="shared" si="0"/>
        <v>0</v>
      </c>
      <c r="I37" s="16">
        <f t="shared" si="1"/>
        <v>0</v>
      </c>
      <c r="J37" s="16">
        <f t="shared" si="2"/>
        <v>0</v>
      </c>
      <c r="K37" s="16">
        <v>0.00074</v>
      </c>
      <c r="L37" s="16">
        <f t="shared" si="3"/>
        <v>0.00555</v>
      </c>
      <c r="M37" s="28" t="s">
        <v>163</v>
      </c>
      <c r="P37" s="33">
        <f t="shared" si="4"/>
        <v>0</v>
      </c>
      <c r="R37" s="33">
        <f t="shared" si="5"/>
        <v>0</v>
      </c>
      <c r="S37" s="33">
        <f t="shared" si="6"/>
        <v>0</v>
      </c>
      <c r="T37" s="33">
        <f t="shared" si="7"/>
        <v>0</v>
      </c>
      <c r="U37" s="33">
        <f t="shared" si="8"/>
        <v>0</v>
      </c>
      <c r="V37" s="33">
        <f t="shared" si="9"/>
        <v>0</v>
      </c>
      <c r="W37" s="33">
        <f t="shared" si="10"/>
        <v>0</v>
      </c>
      <c r="X37" s="33">
        <f t="shared" si="11"/>
        <v>0</v>
      </c>
      <c r="Y37" s="25"/>
      <c r="Z37" s="16">
        <f t="shared" si="12"/>
        <v>0</v>
      </c>
      <c r="AA37" s="16">
        <f t="shared" si="13"/>
        <v>0</v>
      </c>
      <c r="AB37" s="16">
        <f t="shared" si="14"/>
        <v>0</v>
      </c>
      <c r="AD37" s="33">
        <v>21</v>
      </c>
      <c r="AE37" s="33">
        <f>G37*0.665364806866953</f>
        <v>0</v>
      </c>
      <c r="AF37" s="33">
        <f>G37*(1-0.665364806866953)</f>
        <v>0</v>
      </c>
      <c r="AG37" s="28" t="s">
        <v>13</v>
      </c>
      <c r="AM37" s="33">
        <f t="shared" si="15"/>
        <v>0</v>
      </c>
      <c r="AN37" s="33">
        <f t="shared" si="16"/>
        <v>0</v>
      </c>
      <c r="AO37" s="34" t="s">
        <v>176</v>
      </c>
      <c r="AP37" s="34" t="s">
        <v>185</v>
      </c>
      <c r="AQ37" s="25" t="s">
        <v>188</v>
      </c>
      <c r="AS37" s="33">
        <f t="shared" si="17"/>
        <v>0</v>
      </c>
      <c r="AT37" s="33">
        <f t="shared" si="18"/>
        <v>0</v>
      </c>
      <c r="AU37" s="33">
        <v>0</v>
      </c>
      <c r="AV37" s="33">
        <f t="shared" si="19"/>
        <v>0.00555</v>
      </c>
    </row>
    <row r="38" spans="1:48" ht="12.75">
      <c r="A38" s="4" t="s">
        <v>29</v>
      </c>
      <c r="B38" s="4"/>
      <c r="C38" s="4" t="s">
        <v>70</v>
      </c>
      <c r="D38" s="4" t="s">
        <v>118</v>
      </c>
      <c r="E38" s="4" t="s">
        <v>141</v>
      </c>
      <c r="F38" s="16">
        <v>3.8</v>
      </c>
      <c r="G38" s="16">
        <v>0</v>
      </c>
      <c r="H38" s="16">
        <f t="shared" si="0"/>
        <v>0</v>
      </c>
      <c r="I38" s="16">
        <f t="shared" si="1"/>
        <v>0</v>
      </c>
      <c r="J38" s="16">
        <f t="shared" si="2"/>
        <v>0</v>
      </c>
      <c r="K38" s="16">
        <v>0</v>
      </c>
      <c r="L38" s="16">
        <f t="shared" si="3"/>
        <v>0</v>
      </c>
      <c r="M38" s="28" t="s">
        <v>163</v>
      </c>
      <c r="P38" s="33">
        <f t="shared" si="4"/>
        <v>0</v>
      </c>
      <c r="R38" s="33">
        <f t="shared" si="5"/>
        <v>0</v>
      </c>
      <c r="S38" s="33">
        <f t="shared" si="6"/>
        <v>0</v>
      </c>
      <c r="T38" s="33">
        <f t="shared" si="7"/>
        <v>0</v>
      </c>
      <c r="U38" s="33">
        <f t="shared" si="8"/>
        <v>0</v>
      </c>
      <c r="V38" s="33">
        <f t="shared" si="9"/>
        <v>0</v>
      </c>
      <c r="W38" s="33">
        <f t="shared" si="10"/>
        <v>0</v>
      </c>
      <c r="X38" s="33">
        <f t="shared" si="11"/>
        <v>0</v>
      </c>
      <c r="Y38" s="25"/>
      <c r="Z38" s="16">
        <f t="shared" si="12"/>
        <v>0</v>
      </c>
      <c r="AA38" s="16">
        <f t="shared" si="13"/>
        <v>0</v>
      </c>
      <c r="AB38" s="16">
        <f t="shared" si="14"/>
        <v>0</v>
      </c>
      <c r="AD38" s="33">
        <v>21</v>
      </c>
      <c r="AE38" s="33">
        <f>G38*0</f>
        <v>0</v>
      </c>
      <c r="AF38" s="33">
        <f>G38*(1-0)</f>
        <v>0</v>
      </c>
      <c r="AG38" s="28" t="s">
        <v>13</v>
      </c>
      <c r="AM38" s="33">
        <f t="shared" si="15"/>
        <v>0</v>
      </c>
      <c r="AN38" s="33">
        <f t="shared" si="16"/>
        <v>0</v>
      </c>
      <c r="AO38" s="34" t="s">
        <v>176</v>
      </c>
      <c r="AP38" s="34" t="s">
        <v>185</v>
      </c>
      <c r="AQ38" s="25" t="s">
        <v>188</v>
      </c>
      <c r="AS38" s="33">
        <f t="shared" si="17"/>
        <v>0</v>
      </c>
      <c r="AT38" s="33">
        <f t="shared" si="18"/>
        <v>0</v>
      </c>
      <c r="AU38" s="33">
        <v>0</v>
      </c>
      <c r="AV38" s="33">
        <f t="shared" si="19"/>
        <v>0</v>
      </c>
    </row>
    <row r="39" spans="1:48" ht="12.75">
      <c r="A39" s="4" t="s">
        <v>30</v>
      </c>
      <c r="B39" s="4"/>
      <c r="C39" s="4" t="s">
        <v>71</v>
      </c>
      <c r="D39" s="4" t="s">
        <v>119</v>
      </c>
      <c r="E39" s="4" t="s">
        <v>145</v>
      </c>
      <c r="F39" s="16">
        <v>0</v>
      </c>
      <c r="G39" s="16">
        <v>0</v>
      </c>
      <c r="H39" s="16">
        <f t="shared" si="0"/>
        <v>0</v>
      </c>
      <c r="I39" s="16">
        <f t="shared" si="1"/>
        <v>0</v>
      </c>
      <c r="J39" s="16">
        <f t="shared" si="2"/>
        <v>0</v>
      </c>
      <c r="K39" s="16">
        <v>0</v>
      </c>
      <c r="L39" s="16">
        <f t="shared" si="3"/>
        <v>0</v>
      </c>
      <c r="M39" s="28" t="s">
        <v>163</v>
      </c>
      <c r="P39" s="33">
        <f t="shared" si="4"/>
        <v>0</v>
      </c>
      <c r="R39" s="33">
        <f t="shared" si="5"/>
        <v>0</v>
      </c>
      <c r="S39" s="33">
        <f t="shared" si="6"/>
        <v>0</v>
      </c>
      <c r="T39" s="33">
        <f t="shared" si="7"/>
        <v>0</v>
      </c>
      <c r="U39" s="33">
        <f t="shared" si="8"/>
        <v>0</v>
      </c>
      <c r="V39" s="33">
        <f t="shared" si="9"/>
        <v>0</v>
      </c>
      <c r="W39" s="33">
        <f t="shared" si="10"/>
        <v>0</v>
      </c>
      <c r="X39" s="33">
        <f t="shared" si="11"/>
        <v>0</v>
      </c>
      <c r="Y39" s="25"/>
      <c r="Z39" s="16">
        <f t="shared" si="12"/>
        <v>0</v>
      </c>
      <c r="AA39" s="16">
        <f t="shared" si="13"/>
        <v>0</v>
      </c>
      <c r="AB39" s="16">
        <f t="shared" si="14"/>
        <v>0</v>
      </c>
      <c r="AD39" s="33">
        <v>21</v>
      </c>
      <c r="AE39" s="33">
        <f>G39*0</f>
        <v>0</v>
      </c>
      <c r="AF39" s="33">
        <f>G39*(1-0)</f>
        <v>0</v>
      </c>
      <c r="AG39" s="28" t="s">
        <v>11</v>
      </c>
      <c r="AM39" s="33">
        <f t="shared" si="15"/>
        <v>0</v>
      </c>
      <c r="AN39" s="33">
        <f t="shared" si="16"/>
        <v>0</v>
      </c>
      <c r="AO39" s="34" t="s">
        <v>176</v>
      </c>
      <c r="AP39" s="34" t="s">
        <v>185</v>
      </c>
      <c r="AQ39" s="25" t="s">
        <v>188</v>
      </c>
      <c r="AS39" s="33">
        <f t="shared" si="17"/>
        <v>0</v>
      </c>
      <c r="AT39" s="33">
        <f t="shared" si="18"/>
        <v>0</v>
      </c>
      <c r="AU39" s="33">
        <v>0</v>
      </c>
      <c r="AV39" s="33">
        <f t="shared" si="19"/>
        <v>0</v>
      </c>
    </row>
    <row r="40" spans="1:37" ht="12.75">
      <c r="A40" s="5"/>
      <c r="B40" s="13"/>
      <c r="C40" s="13" t="s">
        <v>72</v>
      </c>
      <c r="D40" s="108" t="s">
        <v>120</v>
      </c>
      <c r="E40" s="109"/>
      <c r="F40" s="109"/>
      <c r="G40" s="109"/>
      <c r="H40" s="36">
        <f>SUM(H41:H42)</f>
        <v>0</v>
      </c>
      <c r="I40" s="36">
        <f>SUM(I41:I42)</f>
        <v>0</v>
      </c>
      <c r="J40" s="36">
        <f>H40+I40</f>
        <v>0</v>
      </c>
      <c r="K40" s="25"/>
      <c r="L40" s="36">
        <f>SUM(L41:L42)</f>
        <v>0.00375</v>
      </c>
      <c r="M40" s="25"/>
      <c r="Y40" s="25"/>
      <c r="AI40" s="36">
        <f>SUM(Z41:Z42)</f>
        <v>0</v>
      </c>
      <c r="AJ40" s="36">
        <f>SUM(AA41:AA42)</f>
        <v>0</v>
      </c>
      <c r="AK40" s="36">
        <f>SUM(AB41:AB42)</f>
        <v>0</v>
      </c>
    </row>
    <row r="41" spans="1:48" ht="12.75">
      <c r="A41" s="4" t="s">
        <v>31</v>
      </c>
      <c r="B41" s="4"/>
      <c r="C41" s="4" t="s">
        <v>73</v>
      </c>
      <c r="D41" s="4" t="s">
        <v>121</v>
      </c>
      <c r="E41" s="4" t="s">
        <v>142</v>
      </c>
      <c r="F41" s="16">
        <v>15</v>
      </c>
      <c r="G41" s="16">
        <v>0</v>
      </c>
      <c r="H41" s="16">
        <f>F41*AE41</f>
        <v>0</v>
      </c>
      <c r="I41" s="16">
        <f>J41-H41</f>
        <v>0</v>
      </c>
      <c r="J41" s="16">
        <f>F41*G41</f>
        <v>0</v>
      </c>
      <c r="K41" s="16">
        <v>1E-05</v>
      </c>
      <c r="L41" s="16">
        <f>F41*K41</f>
        <v>0.00015000000000000001</v>
      </c>
      <c r="M41" s="28" t="s">
        <v>163</v>
      </c>
      <c r="P41" s="33">
        <f>IF(AG41="5",J41,0)</f>
        <v>0</v>
      </c>
      <c r="R41" s="33">
        <f>IF(AG41="1",H41,0)</f>
        <v>0</v>
      </c>
      <c r="S41" s="33">
        <f>IF(AG41="1",I41,0)</f>
        <v>0</v>
      </c>
      <c r="T41" s="33">
        <f>IF(AG41="7",H41,0)</f>
        <v>0</v>
      </c>
      <c r="U41" s="33">
        <f>IF(AG41="7",I41,0)</f>
        <v>0</v>
      </c>
      <c r="V41" s="33">
        <f>IF(AG41="2",H41,0)</f>
        <v>0</v>
      </c>
      <c r="W41" s="33">
        <f>IF(AG41="2",I41,0)</f>
        <v>0</v>
      </c>
      <c r="X41" s="33">
        <f>IF(AG41="0",J41,0)</f>
        <v>0</v>
      </c>
      <c r="Y41" s="25"/>
      <c r="Z41" s="16">
        <f>IF(AD41=0,J41,0)</f>
        <v>0</v>
      </c>
      <c r="AA41" s="16">
        <f>IF(AD41=15,J41,0)</f>
        <v>0</v>
      </c>
      <c r="AB41" s="16">
        <f>IF(AD41=21,J41,0)</f>
        <v>0</v>
      </c>
      <c r="AD41" s="33">
        <v>21</v>
      </c>
      <c r="AE41" s="33">
        <f>G41*0.0580645161290323</f>
        <v>0</v>
      </c>
      <c r="AF41" s="33">
        <f>G41*(1-0.0580645161290323)</f>
        <v>0</v>
      </c>
      <c r="AG41" s="28" t="s">
        <v>13</v>
      </c>
      <c r="AM41" s="33">
        <f>F41*AE41</f>
        <v>0</v>
      </c>
      <c r="AN41" s="33">
        <f>F41*AF41</f>
        <v>0</v>
      </c>
      <c r="AO41" s="34" t="s">
        <v>177</v>
      </c>
      <c r="AP41" s="34" t="s">
        <v>186</v>
      </c>
      <c r="AQ41" s="25" t="s">
        <v>188</v>
      </c>
      <c r="AS41" s="33">
        <f>AM41+AN41</f>
        <v>0</v>
      </c>
      <c r="AT41" s="33">
        <f>G41/(100-AU41)*100</f>
        <v>0</v>
      </c>
      <c r="AU41" s="33">
        <v>0</v>
      </c>
      <c r="AV41" s="33">
        <f>L41</f>
        <v>0.00015000000000000001</v>
      </c>
    </row>
    <row r="42" spans="1:48" ht="12.75">
      <c r="A42" s="4" t="s">
        <v>32</v>
      </c>
      <c r="B42" s="4"/>
      <c r="C42" s="4" t="s">
        <v>74</v>
      </c>
      <c r="D42" s="4" t="s">
        <v>122</v>
      </c>
      <c r="E42" s="4" t="s">
        <v>142</v>
      </c>
      <c r="F42" s="16">
        <v>15</v>
      </c>
      <c r="G42" s="16">
        <v>0</v>
      </c>
      <c r="H42" s="16">
        <f>F42*AE42</f>
        <v>0</v>
      </c>
      <c r="I42" s="16">
        <f>J42-H42</f>
        <v>0</v>
      </c>
      <c r="J42" s="16">
        <f>F42*G42</f>
        <v>0</v>
      </c>
      <c r="K42" s="16">
        <v>0.00024</v>
      </c>
      <c r="L42" s="16">
        <f>F42*K42</f>
        <v>0.0036</v>
      </c>
      <c r="M42" s="28" t="s">
        <v>163</v>
      </c>
      <c r="P42" s="33">
        <f>IF(AG42="5",J42,0)</f>
        <v>0</v>
      </c>
      <c r="R42" s="33">
        <f>IF(AG42="1",H42,0)</f>
        <v>0</v>
      </c>
      <c r="S42" s="33">
        <f>IF(AG42="1",I42,0)</f>
        <v>0</v>
      </c>
      <c r="T42" s="33">
        <f>IF(AG42="7",H42,0)</f>
        <v>0</v>
      </c>
      <c r="U42" s="33">
        <f>IF(AG42="7",I42,0)</f>
        <v>0</v>
      </c>
      <c r="V42" s="33">
        <f>IF(AG42="2",H42,0)</f>
        <v>0</v>
      </c>
      <c r="W42" s="33">
        <f>IF(AG42="2",I42,0)</f>
        <v>0</v>
      </c>
      <c r="X42" s="33">
        <f>IF(AG42="0",J42,0)</f>
        <v>0</v>
      </c>
      <c r="Y42" s="25"/>
      <c r="Z42" s="16">
        <f>IF(AD42=0,J42,0)</f>
        <v>0</v>
      </c>
      <c r="AA42" s="16">
        <f>IF(AD42=15,J42,0)</f>
        <v>0</v>
      </c>
      <c r="AB42" s="16">
        <f>IF(AD42=21,J42,0)</f>
        <v>0</v>
      </c>
      <c r="AD42" s="33">
        <v>21</v>
      </c>
      <c r="AE42" s="33">
        <f>G42*0.194661016949153</f>
        <v>0</v>
      </c>
      <c r="AF42" s="33">
        <f>G42*(1-0.194661016949153)</f>
        <v>0</v>
      </c>
      <c r="AG42" s="28" t="s">
        <v>13</v>
      </c>
      <c r="AM42" s="33">
        <f>F42*AE42</f>
        <v>0</v>
      </c>
      <c r="AN42" s="33">
        <f>F42*AF42</f>
        <v>0</v>
      </c>
      <c r="AO42" s="34" t="s">
        <v>177</v>
      </c>
      <c r="AP42" s="34" t="s">
        <v>186</v>
      </c>
      <c r="AQ42" s="25" t="s">
        <v>188</v>
      </c>
      <c r="AS42" s="33">
        <f>AM42+AN42</f>
        <v>0</v>
      </c>
      <c r="AT42" s="33">
        <f>G42/(100-AU42)*100</f>
        <v>0</v>
      </c>
      <c r="AU42" s="33">
        <v>0</v>
      </c>
      <c r="AV42" s="33">
        <f>L42</f>
        <v>0.0036</v>
      </c>
    </row>
    <row r="43" spans="1:37" ht="12.75">
      <c r="A43" s="5"/>
      <c r="B43" s="13"/>
      <c r="C43" s="13" t="s">
        <v>75</v>
      </c>
      <c r="D43" s="108" t="s">
        <v>123</v>
      </c>
      <c r="E43" s="109"/>
      <c r="F43" s="109"/>
      <c r="G43" s="109"/>
      <c r="H43" s="36">
        <f>SUM(H44:H45)</f>
        <v>0</v>
      </c>
      <c r="I43" s="36">
        <f>SUM(I44:I45)</f>
        <v>0</v>
      </c>
      <c r="J43" s="36">
        <f>H43+I43</f>
        <v>0</v>
      </c>
      <c r="K43" s="25"/>
      <c r="L43" s="36">
        <f>SUM(L44:L45)</f>
        <v>0.0074199999999999995</v>
      </c>
      <c r="M43" s="25"/>
      <c r="Y43" s="25"/>
      <c r="AI43" s="36">
        <f>SUM(Z44:Z45)</f>
        <v>0</v>
      </c>
      <c r="AJ43" s="36">
        <f>SUM(AA44:AA45)</f>
        <v>0</v>
      </c>
      <c r="AK43" s="36">
        <f>SUM(AB44:AB45)</f>
        <v>0</v>
      </c>
    </row>
    <row r="44" spans="1:48" ht="12.75">
      <c r="A44" s="4" t="s">
        <v>33</v>
      </c>
      <c r="B44" s="4"/>
      <c r="C44" s="4" t="s">
        <v>76</v>
      </c>
      <c r="D44" s="4" t="s">
        <v>124</v>
      </c>
      <c r="E44" s="4" t="s">
        <v>142</v>
      </c>
      <c r="F44" s="16">
        <v>15</v>
      </c>
      <c r="G44" s="16">
        <v>0</v>
      </c>
      <c r="H44" s="16">
        <f>F44*AE44</f>
        <v>0</v>
      </c>
      <c r="I44" s="16">
        <f>J44-H44</f>
        <v>0</v>
      </c>
      <c r="J44" s="16">
        <f>F44*G44</f>
        <v>0</v>
      </c>
      <c r="K44" s="16">
        <v>0</v>
      </c>
      <c r="L44" s="16">
        <f>F44*K44</f>
        <v>0</v>
      </c>
      <c r="M44" s="28" t="s">
        <v>163</v>
      </c>
      <c r="P44" s="33">
        <f>IF(AG44="5",J44,0)</f>
        <v>0</v>
      </c>
      <c r="R44" s="33">
        <f>IF(AG44="1",H44,0)</f>
        <v>0</v>
      </c>
      <c r="S44" s="33">
        <f>IF(AG44="1",I44,0)</f>
        <v>0</v>
      </c>
      <c r="T44" s="33">
        <f>IF(AG44="7",H44,0)</f>
        <v>0</v>
      </c>
      <c r="U44" s="33">
        <f>IF(AG44="7",I44,0)</f>
        <v>0</v>
      </c>
      <c r="V44" s="33">
        <f>IF(AG44="2",H44,0)</f>
        <v>0</v>
      </c>
      <c r="W44" s="33">
        <f>IF(AG44="2",I44,0)</f>
        <v>0</v>
      </c>
      <c r="X44" s="33">
        <f>IF(AG44="0",J44,0)</f>
        <v>0</v>
      </c>
      <c r="Y44" s="25"/>
      <c r="Z44" s="16">
        <f>IF(AD44=0,J44,0)</f>
        <v>0</v>
      </c>
      <c r="AA44" s="16">
        <f>IF(AD44=15,J44,0)</f>
        <v>0</v>
      </c>
      <c r="AB44" s="16">
        <f>IF(AD44=21,J44,0)</f>
        <v>0</v>
      </c>
      <c r="AD44" s="33">
        <v>21</v>
      </c>
      <c r="AE44" s="33">
        <f>G44*0.00354470263883419</f>
        <v>0</v>
      </c>
      <c r="AF44" s="33">
        <f>G44*(1-0.00354470263883419)</f>
        <v>0</v>
      </c>
      <c r="AG44" s="28" t="s">
        <v>13</v>
      </c>
      <c r="AM44" s="33">
        <f>F44*AE44</f>
        <v>0</v>
      </c>
      <c r="AN44" s="33">
        <f>F44*AF44</f>
        <v>0</v>
      </c>
      <c r="AO44" s="34" t="s">
        <v>178</v>
      </c>
      <c r="AP44" s="34" t="s">
        <v>186</v>
      </c>
      <c r="AQ44" s="25" t="s">
        <v>188</v>
      </c>
      <c r="AS44" s="33">
        <f>AM44+AN44</f>
        <v>0</v>
      </c>
      <c r="AT44" s="33">
        <f>G44/(100-AU44)*100</f>
        <v>0</v>
      </c>
      <c r="AU44" s="33">
        <v>0</v>
      </c>
      <c r="AV44" s="33">
        <f>L44</f>
        <v>0</v>
      </c>
    </row>
    <row r="45" spans="1:48" ht="12.75">
      <c r="A45" s="4" t="s">
        <v>34</v>
      </c>
      <c r="B45" s="4"/>
      <c r="C45" s="4" t="s">
        <v>77</v>
      </c>
      <c r="D45" s="4" t="s">
        <v>125</v>
      </c>
      <c r="E45" s="4" t="s">
        <v>142</v>
      </c>
      <c r="F45" s="16">
        <v>53</v>
      </c>
      <c r="G45" s="16">
        <v>0</v>
      </c>
      <c r="H45" s="16">
        <f>F45*AE45</f>
        <v>0</v>
      </c>
      <c r="I45" s="16">
        <f>J45-H45</f>
        <v>0</v>
      </c>
      <c r="J45" s="16">
        <f>F45*G45</f>
        <v>0</v>
      </c>
      <c r="K45" s="16">
        <v>0.00014</v>
      </c>
      <c r="L45" s="16">
        <f>F45*K45</f>
        <v>0.0074199999999999995</v>
      </c>
      <c r="M45" s="28" t="s">
        <v>163</v>
      </c>
      <c r="P45" s="33">
        <f>IF(AG45="5",J45,0)</f>
        <v>0</v>
      </c>
      <c r="R45" s="33">
        <f>IF(AG45="1",H45,0)</f>
        <v>0</v>
      </c>
      <c r="S45" s="33">
        <f>IF(AG45="1",I45,0)</f>
        <v>0</v>
      </c>
      <c r="T45" s="33">
        <f>IF(AG45="7",H45,0)</f>
        <v>0</v>
      </c>
      <c r="U45" s="33">
        <f>IF(AG45="7",I45,0)</f>
        <v>0</v>
      </c>
      <c r="V45" s="33">
        <f>IF(AG45="2",H45,0)</f>
        <v>0</v>
      </c>
      <c r="W45" s="33">
        <f>IF(AG45="2",I45,0)</f>
        <v>0</v>
      </c>
      <c r="X45" s="33">
        <f>IF(AG45="0",J45,0)</f>
        <v>0</v>
      </c>
      <c r="Y45" s="25"/>
      <c r="Z45" s="16">
        <f>IF(AD45=0,J45,0)</f>
        <v>0</v>
      </c>
      <c r="AA45" s="16">
        <f>IF(AD45=15,J45,0)</f>
        <v>0</v>
      </c>
      <c r="AB45" s="16">
        <f>IF(AD45=21,J45,0)</f>
        <v>0</v>
      </c>
      <c r="AD45" s="33">
        <v>21</v>
      </c>
      <c r="AE45" s="33">
        <f>G45*0.0736484721859493</f>
        <v>0</v>
      </c>
      <c r="AF45" s="33">
        <f>G45*(1-0.0736484721859493)</f>
        <v>0</v>
      </c>
      <c r="AG45" s="28" t="s">
        <v>13</v>
      </c>
      <c r="AM45" s="33">
        <f>F45*AE45</f>
        <v>0</v>
      </c>
      <c r="AN45" s="33">
        <f>F45*AF45</f>
        <v>0</v>
      </c>
      <c r="AO45" s="34" t="s">
        <v>178</v>
      </c>
      <c r="AP45" s="34" t="s">
        <v>186</v>
      </c>
      <c r="AQ45" s="25" t="s">
        <v>188</v>
      </c>
      <c r="AS45" s="33">
        <f>AM45+AN45</f>
        <v>0</v>
      </c>
      <c r="AT45" s="33">
        <f>G45/(100-AU45)*100</f>
        <v>0</v>
      </c>
      <c r="AU45" s="33">
        <v>0</v>
      </c>
      <c r="AV45" s="33">
        <f>L45</f>
        <v>0.0074199999999999995</v>
      </c>
    </row>
    <row r="46" spans="1:37" ht="12.75">
      <c r="A46" s="5"/>
      <c r="B46" s="13"/>
      <c r="C46" s="13" t="s">
        <v>78</v>
      </c>
      <c r="D46" s="108" t="s">
        <v>126</v>
      </c>
      <c r="E46" s="109"/>
      <c r="F46" s="109"/>
      <c r="G46" s="109"/>
      <c r="H46" s="36">
        <f>SUM(H47:H47)</f>
        <v>0</v>
      </c>
      <c r="I46" s="36">
        <f>SUM(I47:I47)</f>
        <v>0</v>
      </c>
      <c r="J46" s="36">
        <f>H46+I46</f>
        <v>0</v>
      </c>
      <c r="K46" s="25"/>
      <c r="L46" s="36">
        <f>SUM(L47:L47)</f>
        <v>0.0009520000000000002</v>
      </c>
      <c r="M46" s="25"/>
      <c r="Y46" s="25"/>
      <c r="AI46" s="36">
        <f>SUM(Z47:Z47)</f>
        <v>0</v>
      </c>
      <c r="AJ46" s="36">
        <f>SUM(AA47:AA47)</f>
        <v>0</v>
      </c>
      <c r="AK46" s="36">
        <f>SUM(AB47:AB47)</f>
        <v>0</v>
      </c>
    </row>
    <row r="47" spans="1:48" ht="12.75">
      <c r="A47" s="4" t="s">
        <v>35</v>
      </c>
      <c r="B47" s="4"/>
      <c r="C47" s="4" t="s">
        <v>79</v>
      </c>
      <c r="D47" s="4" t="s">
        <v>127</v>
      </c>
      <c r="E47" s="4" t="s">
        <v>142</v>
      </c>
      <c r="F47" s="16">
        <v>23.8</v>
      </c>
      <c r="G47" s="16">
        <v>0</v>
      </c>
      <c r="H47" s="16">
        <f>F47*AE47</f>
        <v>0</v>
      </c>
      <c r="I47" s="16">
        <f>J47-H47</f>
        <v>0</v>
      </c>
      <c r="J47" s="16">
        <f>F47*G47</f>
        <v>0</v>
      </c>
      <c r="K47" s="16">
        <v>4E-05</v>
      </c>
      <c r="L47" s="16">
        <f>F47*K47</f>
        <v>0.0009520000000000002</v>
      </c>
      <c r="M47" s="28" t="s">
        <v>163</v>
      </c>
      <c r="P47" s="33">
        <f>IF(AG47="5",J47,0)</f>
        <v>0</v>
      </c>
      <c r="R47" s="33">
        <f>IF(AG47="1",H47,0)</f>
        <v>0</v>
      </c>
      <c r="S47" s="33">
        <f>IF(AG47="1",I47,0)</f>
        <v>0</v>
      </c>
      <c r="T47" s="33">
        <f>IF(AG47="7",H47,0)</f>
        <v>0</v>
      </c>
      <c r="U47" s="33">
        <f>IF(AG47="7",I47,0)</f>
        <v>0</v>
      </c>
      <c r="V47" s="33">
        <f>IF(AG47="2",H47,0)</f>
        <v>0</v>
      </c>
      <c r="W47" s="33">
        <f>IF(AG47="2",I47,0)</f>
        <v>0</v>
      </c>
      <c r="X47" s="33">
        <f>IF(AG47="0",J47,0)</f>
        <v>0</v>
      </c>
      <c r="Y47" s="25"/>
      <c r="Z47" s="16">
        <f>IF(AD47=0,J47,0)</f>
        <v>0</v>
      </c>
      <c r="AA47" s="16">
        <f>IF(AD47=15,J47,0)</f>
        <v>0</v>
      </c>
      <c r="AB47" s="16">
        <f>IF(AD47=21,J47,0)</f>
        <v>0</v>
      </c>
      <c r="AD47" s="33">
        <v>21</v>
      </c>
      <c r="AE47" s="33">
        <f>G47*0.0165317919075144</f>
        <v>0</v>
      </c>
      <c r="AF47" s="33">
        <f>G47*(1-0.0165317919075144)</f>
        <v>0</v>
      </c>
      <c r="AG47" s="28" t="s">
        <v>7</v>
      </c>
      <c r="AM47" s="33">
        <f>F47*AE47</f>
        <v>0</v>
      </c>
      <c r="AN47" s="33">
        <f>F47*AF47</f>
        <v>0</v>
      </c>
      <c r="AO47" s="34" t="s">
        <v>179</v>
      </c>
      <c r="AP47" s="34" t="s">
        <v>187</v>
      </c>
      <c r="AQ47" s="25" t="s">
        <v>188</v>
      </c>
      <c r="AS47" s="33">
        <f>AM47+AN47</f>
        <v>0</v>
      </c>
      <c r="AT47" s="33">
        <f>G47/(100-AU47)*100</f>
        <v>0</v>
      </c>
      <c r="AU47" s="33">
        <v>0</v>
      </c>
      <c r="AV47" s="33">
        <f>L47</f>
        <v>0.0009520000000000002</v>
      </c>
    </row>
    <row r="48" spans="1:37" ht="12.75">
      <c r="A48" s="5"/>
      <c r="B48" s="13"/>
      <c r="C48" s="13" t="s">
        <v>80</v>
      </c>
      <c r="D48" s="108" t="s">
        <v>128</v>
      </c>
      <c r="E48" s="109"/>
      <c r="F48" s="109"/>
      <c r="G48" s="109"/>
      <c r="H48" s="36">
        <f>SUM(H49:H49)</f>
        <v>0</v>
      </c>
      <c r="I48" s="36">
        <f>SUM(I49:I49)</f>
        <v>0</v>
      </c>
      <c r="J48" s="36">
        <f>H48+I48</f>
        <v>0</v>
      </c>
      <c r="K48" s="25"/>
      <c r="L48" s="36">
        <f>SUM(L49:L49)</f>
        <v>0</v>
      </c>
      <c r="M48" s="25"/>
      <c r="Y48" s="25"/>
      <c r="AI48" s="36">
        <f>SUM(Z49:Z49)</f>
        <v>0</v>
      </c>
      <c r="AJ48" s="36">
        <f>SUM(AA49:AA49)</f>
        <v>0</v>
      </c>
      <c r="AK48" s="36">
        <f>SUM(AB49:AB49)</f>
        <v>0</v>
      </c>
    </row>
    <row r="49" spans="1:48" ht="12.75">
      <c r="A49" s="4" t="s">
        <v>36</v>
      </c>
      <c r="B49" s="4"/>
      <c r="C49" s="4" t="s">
        <v>81</v>
      </c>
      <c r="D49" s="4" t="s">
        <v>129</v>
      </c>
      <c r="E49" s="4" t="s">
        <v>146</v>
      </c>
      <c r="F49" s="16">
        <v>1.08</v>
      </c>
      <c r="G49" s="16">
        <v>0</v>
      </c>
      <c r="H49" s="16">
        <f>F49*AE49</f>
        <v>0</v>
      </c>
      <c r="I49" s="16">
        <f>J49-H49</f>
        <v>0</v>
      </c>
      <c r="J49" s="16">
        <f>F49*G49</f>
        <v>0</v>
      </c>
      <c r="K49" s="16">
        <v>0</v>
      </c>
      <c r="L49" s="16">
        <f>F49*K49</f>
        <v>0</v>
      </c>
      <c r="M49" s="28" t="s">
        <v>163</v>
      </c>
      <c r="P49" s="33">
        <f>IF(AG49="5",J49,0)</f>
        <v>0</v>
      </c>
      <c r="R49" s="33">
        <f>IF(AG49="1",H49,0)</f>
        <v>0</v>
      </c>
      <c r="S49" s="33">
        <f>IF(AG49="1",I49,0)</f>
        <v>0</v>
      </c>
      <c r="T49" s="33">
        <f>IF(AG49="7",H49,0)</f>
        <v>0</v>
      </c>
      <c r="U49" s="33">
        <f>IF(AG49="7",I49,0)</f>
        <v>0</v>
      </c>
      <c r="V49" s="33">
        <f>IF(AG49="2",H49,0)</f>
        <v>0</v>
      </c>
      <c r="W49" s="33">
        <f>IF(AG49="2",I49,0)</f>
        <v>0</v>
      </c>
      <c r="X49" s="33">
        <f>IF(AG49="0",J49,0)</f>
        <v>0</v>
      </c>
      <c r="Y49" s="25"/>
      <c r="Z49" s="16">
        <f>IF(AD49=0,J49,0)</f>
        <v>0</v>
      </c>
      <c r="AA49" s="16">
        <f>IF(AD49=15,J49,0)</f>
        <v>0</v>
      </c>
      <c r="AB49" s="16">
        <f>IF(AD49=21,J49,0)</f>
        <v>0</v>
      </c>
      <c r="AD49" s="33">
        <v>21</v>
      </c>
      <c r="AE49" s="33">
        <f>G49*0</f>
        <v>0</v>
      </c>
      <c r="AF49" s="33">
        <f>G49*(1-0)</f>
        <v>0</v>
      </c>
      <c r="AG49" s="28" t="s">
        <v>11</v>
      </c>
      <c r="AM49" s="33">
        <f>F49*AE49</f>
        <v>0</v>
      </c>
      <c r="AN49" s="33">
        <f>F49*AF49</f>
        <v>0</v>
      </c>
      <c r="AO49" s="34" t="s">
        <v>180</v>
      </c>
      <c r="AP49" s="34" t="s">
        <v>187</v>
      </c>
      <c r="AQ49" s="25" t="s">
        <v>188</v>
      </c>
      <c r="AS49" s="33">
        <f>AM49+AN49</f>
        <v>0</v>
      </c>
      <c r="AT49" s="33">
        <f>G49/(100-AU49)*100</f>
        <v>0</v>
      </c>
      <c r="AU49" s="33">
        <v>0</v>
      </c>
      <c r="AV49" s="33">
        <f>L49</f>
        <v>0</v>
      </c>
    </row>
    <row r="50" spans="1:37" ht="12.75">
      <c r="A50" s="5"/>
      <c r="B50" s="13"/>
      <c r="C50" s="13" t="s">
        <v>82</v>
      </c>
      <c r="D50" s="108" t="s">
        <v>130</v>
      </c>
      <c r="E50" s="109"/>
      <c r="F50" s="109"/>
      <c r="G50" s="109"/>
      <c r="H50" s="36">
        <f>SUM(H51:H51)</f>
        <v>0</v>
      </c>
      <c r="I50" s="36">
        <f>SUM(I51:I51)</f>
        <v>0</v>
      </c>
      <c r="J50" s="36">
        <f>H50+I50</f>
        <v>0</v>
      </c>
      <c r="K50" s="25"/>
      <c r="L50" s="36">
        <f>SUM(L51:L51)</f>
        <v>0</v>
      </c>
      <c r="M50" s="25"/>
      <c r="Y50" s="25"/>
      <c r="AI50" s="36">
        <f>SUM(Z51:Z51)</f>
        <v>0</v>
      </c>
      <c r="AJ50" s="36">
        <f>SUM(AA51:AA51)</f>
        <v>0</v>
      </c>
      <c r="AK50" s="36">
        <f>SUM(AB51:AB51)</f>
        <v>0</v>
      </c>
    </row>
    <row r="51" spans="1:48" ht="12.75">
      <c r="A51" s="4" t="s">
        <v>37</v>
      </c>
      <c r="B51" s="4"/>
      <c r="C51" s="4" t="s">
        <v>83</v>
      </c>
      <c r="D51" s="4" t="s">
        <v>131</v>
      </c>
      <c r="E51" s="4" t="s">
        <v>147</v>
      </c>
      <c r="F51" s="16">
        <v>1</v>
      </c>
      <c r="G51" s="16">
        <v>0</v>
      </c>
      <c r="H51" s="16">
        <f>F51*AE51</f>
        <v>0</v>
      </c>
      <c r="I51" s="16">
        <f>J51-H51</f>
        <v>0</v>
      </c>
      <c r="J51" s="16">
        <f>F51*G51</f>
        <v>0</v>
      </c>
      <c r="K51" s="16">
        <v>0</v>
      </c>
      <c r="L51" s="16">
        <f>F51*K51</f>
        <v>0</v>
      </c>
      <c r="M51" s="28" t="s">
        <v>163</v>
      </c>
      <c r="P51" s="33">
        <f>IF(AG51="5",J51,0)</f>
        <v>0</v>
      </c>
      <c r="R51" s="33">
        <f>IF(AG51="1",H51,0)</f>
        <v>0</v>
      </c>
      <c r="S51" s="33">
        <f>IF(AG51="1",I51,0)</f>
        <v>0</v>
      </c>
      <c r="T51" s="33">
        <f>IF(AG51="7",H51,0)</f>
        <v>0</v>
      </c>
      <c r="U51" s="33">
        <f>IF(AG51="7",I51,0)</f>
        <v>0</v>
      </c>
      <c r="V51" s="33">
        <f>IF(AG51="2",H51,0)</f>
        <v>0</v>
      </c>
      <c r="W51" s="33">
        <f>IF(AG51="2",I51,0)</f>
        <v>0</v>
      </c>
      <c r="X51" s="33">
        <f>IF(AG51="0",J51,0)</f>
        <v>0</v>
      </c>
      <c r="Y51" s="25"/>
      <c r="Z51" s="16">
        <f>IF(AD51=0,J51,0)</f>
        <v>0</v>
      </c>
      <c r="AA51" s="16">
        <f>IF(AD51=15,J51,0)</f>
        <v>0</v>
      </c>
      <c r="AB51" s="16">
        <f>IF(AD51=21,J51,0)</f>
        <v>0</v>
      </c>
      <c r="AD51" s="33">
        <v>21</v>
      </c>
      <c r="AE51" s="33">
        <f>G51*0.402761795166858</f>
        <v>0</v>
      </c>
      <c r="AF51" s="33">
        <f>G51*(1-0.402761795166858)</f>
        <v>0</v>
      </c>
      <c r="AG51" s="28" t="s">
        <v>8</v>
      </c>
      <c r="AM51" s="33">
        <f>F51*AE51</f>
        <v>0</v>
      </c>
      <c r="AN51" s="33">
        <f>F51*AF51</f>
        <v>0</v>
      </c>
      <c r="AO51" s="34" t="s">
        <v>181</v>
      </c>
      <c r="AP51" s="34" t="s">
        <v>187</v>
      </c>
      <c r="AQ51" s="25" t="s">
        <v>188</v>
      </c>
      <c r="AS51" s="33">
        <f>AM51+AN51</f>
        <v>0</v>
      </c>
      <c r="AT51" s="33">
        <f>G51/(100-AU51)*100</f>
        <v>0</v>
      </c>
      <c r="AU51" s="33">
        <v>0</v>
      </c>
      <c r="AV51" s="33">
        <f>L51</f>
        <v>0</v>
      </c>
    </row>
    <row r="52" spans="1:37" ht="12.75">
      <c r="A52" s="5"/>
      <c r="B52" s="13"/>
      <c r="C52" s="13" t="s">
        <v>84</v>
      </c>
      <c r="D52" s="108" t="s">
        <v>132</v>
      </c>
      <c r="E52" s="109"/>
      <c r="F52" s="109"/>
      <c r="G52" s="109"/>
      <c r="H52" s="36">
        <f>SUM(H53:H55)</f>
        <v>0</v>
      </c>
      <c r="I52" s="36">
        <f>SUM(I53:I55)</f>
        <v>0</v>
      </c>
      <c r="J52" s="36">
        <f>H52+I52</f>
        <v>0</v>
      </c>
      <c r="K52" s="25"/>
      <c r="L52" s="36">
        <f>SUM(L53:L55)</f>
        <v>0</v>
      </c>
      <c r="M52" s="25"/>
      <c r="Y52" s="25"/>
      <c r="AI52" s="36">
        <f>SUM(Z53:Z55)</f>
        <v>0</v>
      </c>
      <c r="AJ52" s="36">
        <f>SUM(AA53:AA55)</f>
        <v>0</v>
      </c>
      <c r="AK52" s="36">
        <f>SUM(AB53:AB55)</f>
        <v>0</v>
      </c>
    </row>
    <row r="53" spans="1:48" ht="12.75">
      <c r="A53" s="4" t="s">
        <v>38</v>
      </c>
      <c r="B53" s="4"/>
      <c r="C53" s="4" t="s">
        <v>85</v>
      </c>
      <c r="D53" s="4" t="s">
        <v>133</v>
      </c>
      <c r="E53" s="4" t="s">
        <v>146</v>
      </c>
      <c r="F53" s="16">
        <v>0.4</v>
      </c>
      <c r="G53" s="16">
        <v>0</v>
      </c>
      <c r="H53" s="16">
        <f>F53*AE53</f>
        <v>0</v>
      </c>
      <c r="I53" s="16">
        <f>J53-H53</f>
        <v>0</v>
      </c>
      <c r="J53" s="16">
        <f>F53*G53</f>
        <v>0</v>
      </c>
      <c r="K53" s="16">
        <v>0</v>
      </c>
      <c r="L53" s="16">
        <f>F53*K53</f>
        <v>0</v>
      </c>
      <c r="M53" s="28" t="s">
        <v>163</v>
      </c>
      <c r="P53" s="33">
        <f>IF(AG53="5",J53,0)</f>
        <v>0</v>
      </c>
      <c r="R53" s="33">
        <f>IF(AG53="1",H53,0)</f>
        <v>0</v>
      </c>
      <c r="S53" s="33">
        <f>IF(AG53="1",I53,0)</f>
        <v>0</v>
      </c>
      <c r="T53" s="33">
        <f>IF(AG53="7",H53,0)</f>
        <v>0</v>
      </c>
      <c r="U53" s="33">
        <f>IF(AG53="7",I53,0)</f>
        <v>0</v>
      </c>
      <c r="V53" s="33">
        <f>IF(AG53="2",H53,0)</f>
        <v>0</v>
      </c>
      <c r="W53" s="33">
        <f>IF(AG53="2",I53,0)</f>
        <v>0</v>
      </c>
      <c r="X53" s="33">
        <f>IF(AG53="0",J53,0)</f>
        <v>0</v>
      </c>
      <c r="Y53" s="25"/>
      <c r="Z53" s="16">
        <f>IF(AD53=0,J53,0)</f>
        <v>0</v>
      </c>
      <c r="AA53" s="16">
        <f>IF(AD53=15,J53,0)</f>
        <v>0</v>
      </c>
      <c r="AB53" s="16">
        <f>IF(AD53=21,J53,0)</f>
        <v>0</v>
      </c>
      <c r="AD53" s="33">
        <v>21</v>
      </c>
      <c r="AE53" s="33">
        <f>G53*0</f>
        <v>0</v>
      </c>
      <c r="AF53" s="33">
        <f>G53*(1-0)</f>
        <v>0</v>
      </c>
      <c r="AG53" s="28" t="s">
        <v>11</v>
      </c>
      <c r="AM53" s="33">
        <f>F53*AE53</f>
        <v>0</v>
      </c>
      <c r="AN53" s="33">
        <f>F53*AF53</f>
        <v>0</v>
      </c>
      <c r="AO53" s="34" t="s">
        <v>182</v>
      </c>
      <c r="AP53" s="34" t="s">
        <v>187</v>
      </c>
      <c r="AQ53" s="25" t="s">
        <v>188</v>
      </c>
      <c r="AS53" s="33">
        <f>AM53+AN53</f>
        <v>0</v>
      </c>
      <c r="AT53" s="33">
        <f>G53/(100-AU53)*100</f>
        <v>0</v>
      </c>
      <c r="AU53" s="33">
        <v>0</v>
      </c>
      <c r="AV53" s="33">
        <f>L53</f>
        <v>0</v>
      </c>
    </row>
    <row r="54" spans="1:48" ht="12.75">
      <c r="A54" s="4" t="s">
        <v>39</v>
      </c>
      <c r="B54" s="4"/>
      <c r="C54" s="4" t="s">
        <v>86</v>
      </c>
      <c r="D54" s="4" t="s">
        <v>134</v>
      </c>
      <c r="E54" s="4" t="s">
        <v>146</v>
      </c>
      <c r="F54" s="16">
        <v>0.4</v>
      </c>
      <c r="G54" s="16">
        <v>0</v>
      </c>
      <c r="H54" s="16">
        <f>F54*AE54</f>
        <v>0</v>
      </c>
      <c r="I54" s="16">
        <f>J54-H54</f>
        <v>0</v>
      </c>
      <c r="J54" s="16">
        <f>F54*G54</f>
        <v>0</v>
      </c>
      <c r="K54" s="16">
        <v>0</v>
      </c>
      <c r="L54" s="16">
        <f>F54*K54</f>
        <v>0</v>
      </c>
      <c r="M54" s="28" t="s">
        <v>163</v>
      </c>
      <c r="P54" s="33">
        <f>IF(AG54="5",J54,0)</f>
        <v>0</v>
      </c>
      <c r="R54" s="33">
        <f>IF(AG54="1",H54,0)</f>
        <v>0</v>
      </c>
      <c r="S54" s="33">
        <f>IF(AG54="1",I54,0)</f>
        <v>0</v>
      </c>
      <c r="T54" s="33">
        <f>IF(AG54="7",H54,0)</f>
        <v>0</v>
      </c>
      <c r="U54" s="33">
        <f>IF(AG54="7",I54,0)</f>
        <v>0</v>
      </c>
      <c r="V54" s="33">
        <f>IF(AG54="2",H54,0)</f>
        <v>0</v>
      </c>
      <c r="W54" s="33">
        <f>IF(AG54="2",I54,0)</f>
        <v>0</v>
      </c>
      <c r="X54" s="33">
        <f>IF(AG54="0",J54,0)</f>
        <v>0</v>
      </c>
      <c r="Y54" s="25"/>
      <c r="Z54" s="16">
        <f>IF(AD54=0,J54,0)</f>
        <v>0</v>
      </c>
      <c r="AA54" s="16">
        <f>IF(AD54=15,J54,0)</f>
        <v>0</v>
      </c>
      <c r="AB54" s="16">
        <f>IF(AD54=21,J54,0)</f>
        <v>0</v>
      </c>
      <c r="AD54" s="33">
        <v>21</v>
      </c>
      <c r="AE54" s="33">
        <f>G54*0</f>
        <v>0</v>
      </c>
      <c r="AF54" s="33">
        <f>G54*(1-0)</f>
        <v>0</v>
      </c>
      <c r="AG54" s="28" t="s">
        <v>7</v>
      </c>
      <c r="AM54" s="33">
        <f>F54*AE54</f>
        <v>0</v>
      </c>
      <c r="AN54" s="33">
        <f>F54*AF54</f>
        <v>0</v>
      </c>
      <c r="AO54" s="34" t="s">
        <v>182</v>
      </c>
      <c r="AP54" s="34" t="s">
        <v>187</v>
      </c>
      <c r="AQ54" s="25" t="s">
        <v>188</v>
      </c>
      <c r="AS54" s="33">
        <f>AM54+AN54</f>
        <v>0</v>
      </c>
      <c r="AT54" s="33">
        <f>G54/(100-AU54)*100</f>
        <v>0</v>
      </c>
      <c r="AU54" s="33">
        <v>0</v>
      </c>
      <c r="AV54" s="33">
        <f>L54</f>
        <v>0</v>
      </c>
    </row>
    <row r="55" spans="1:48" ht="12.75">
      <c r="A55" s="7" t="s">
        <v>40</v>
      </c>
      <c r="B55" s="7"/>
      <c r="C55" s="7" t="s">
        <v>87</v>
      </c>
      <c r="D55" s="7" t="s">
        <v>135</v>
      </c>
      <c r="E55" s="7" t="s">
        <v>146</v>
      </c>
      <c r="F55" s="18">
        <v>0.4</v>
      </c>
      <c r="G55" s="18">
        <v>0</v>
      </c>
      <c r="H55" s="18">
        <f>F55*AE55</f>
        <v>0</v>
      </c>
      <c r="I55" s="18">
        <f>J55-H55</f>
        <v>0</v>
      </c>
      <c r="J55" s="18">
        <f>F55*G55</f>
        <v>0</v>
      </c>
      <c r="K55" s="18">
        <v>0</v>
      </c>
      <c r="L55" s="18">
        <f>F55*K55</f>
        <v>0</v>
      </c>
      <c r="M55" s="30" t="s">
        <v>163</v>
      </c>
      <c r="P55" s="33">
        <f>IF(AG55="5",J55,0)</f>
        <v>0</v>
      </c>
      <c r="R55" s="33">
        <f>IF(AG55="1",H55,0)</f>
        <v>0</v>
      </c>
      <c r="S55" s="33">
        <f>IF(AG55="1",I55,0)</f>
        <v>0</v>
      </c>
      <c r="T55" s="33">
        <f>IF(AG55="7",H55,0)</f>
        <v>0</v>
      </c>
      <c r="U55" s="33">
        <f>IF(AG55="7",I55,0)</f>
        <v>0</v>
      </c>
      <c r="V55" s="33">
        <f>IF(AG55="2",H55,0)</f>
        <v>0</v>
      </c>
      <c r="W55" s="33">
        <f>IF(AG55="2",I55,0)</f>
        <v>0</v>
      </c>
      <c r="X55" s="33">
        <f>IF(AG55="0",J55,0)</f>
        <v>0</v>
      </c>
      <c r="Y55" s="25"/>
      <c r="Z55" s="16">
        <f>IF(AD55=0,J55,0)</f>
        <v>0</v>
      </c>
      <c r="AA55" s="16">
        <f>IF(AD55=15,J55,0)</f>
        <v>0</v>
      </c>
      <c r="AB55" s="16">
        <f>IF(AD55=21,J55,0)</f>
        <v>0</v>
      </c>
      <c r="AD55" s="33">
        <v>21</v>
      </c>
      <c r="AE55" s="33">
        <f>G55*0</f>
        <v>0</v>
      </c>
      <c r="AF55" s="33">
        <f>G55*(1-0)</f>
        <v>0</v>
      </c>
      <c r="AG55" s="28" t="s">
        <v>11</v>
      </c>
      <c r="AM55" s="33">
        <f>F55*AE55</f>
        <v>0</v>
      </c>
      <c r="AN55" s="33">
        <f>F55*AF55</f>
        <v>0</v>
      </c>
      <c r="AO55" s="34" t="s">
        <v>182</v>
      </c>
      <c r="AP55" s="34" t="s">
        <v>187</v>
      </c>
      <c r="AQ55" s="25" t="s">
        <v>188</v>
      </c>
      <c r="AS55" s="33">
        <f>AM55+AN55</f>
        <v>0</v>
      </c>
      <c r="AT55" s="33">
        <f>G55/(100-AU55)*100</f>
        <v>0</v>
      </c>
      <c r="AU55" s="33">
        <v>0</v>
      </c>
      <c r="AV55" s="33">
        <f>L55</f>
        <v>0</v>
      </c>
    </row>
    <row r="56" spans="1:13" ht="12.75">
      <c r="A56" s="8"/>
      <c r="B56" s="8"/>
      <c r="C56" s="8"/>
      <c r="D56" s="8"/>
      <c r="E56" s="8"/>
      <c r="F56" s="8"/>
      <c r="G56" s="8"/>
      <c r="H56" s="110" t="s">
        <v>153</v>
      </c>
      <c r="I56" s="63"/>
      <c r="J56" s="37">
        <f>J12+J18+J20+J24+J40+J43+J46+J48+J50+J52</f>
        <v>0</v>
      </c>
      <c r="K56" s="8"/>
      <c r="L56" s="8"/>
      <c r="M56" s="8"/>
    </row>
    <row r="57" ht="11.25" customHeight="1">
      <c r="A57" s="9" t="s">
        <v>41</v>
      </c>
    </row>
    <row r="58" spans="1:13" ht="409.5" customHeight="1" hidden="1">
      <c r="A58" s="69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</row>
  </sheetData>
  <sheetProtection/>
  <mergeCells count="39">
    <mergeCell ref="H56:I56"/>
    <mergeCell ref="A58:M58"/>
    <mergeCell ref="D40:G40"/>
    <mergeCell ref="D43:G43"/>
    <mergeCell ref="D46:G46"/>
    <mergeCell ref="D48:G48"/>
    <mergeCell ref="D50:G50"/>
    <mergeCell ref="D52:G52"/>
    <mergeCell ref="H10:J10"/>
    <mergeCell ref="K10:L10"/>
    <mergeCell ref="D12:G12"/>
    <mergeCell ref="D18:G18"/>
    <mergeCell ref="D20:G20"/>
    <mergeCell ref="D24:G24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Tichavská Milena</cp:lastModifiedBy>
  <dcterms:created xsi:type="dcterms:W3CDTF">2016-11-14T15:19:57Z</dcterms:created>
  <dcterms:modified xsi:type="dcterms:W3CDTF">2016-11-16T09:49:37Z</dcterms:modified>
  <cp:category/>
  <cp:version/>
  <cp:contentType/>
  <cp:contentStatus/>
</cp:coreProperties>
</file>