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1"/>
  </bookViews>
  <sheets>
    <sheet name="Stavební rozpočet" sheetId="1" r:id="rId1"/>
    <sheet name="Krycí list rozpočtu" sheetId="2" r:id="rId2"/>
  </sheets>
  <definedNames/>
  <calcPr fullCalcOnLoad="1"/>
</workbook>
</file>

<file path=xl/sharedStrings.xml><?xml version="1.0" encoding="utf-8"?>
<sst xmlns="http://schemas.openxmlformats.org/spreadsheetml/2006/main" count="966" uniqueCount="373">
  <si>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</si>
  <si>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</si>
  <si>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</si>
  <si>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</si>
  <si>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</si>
  <si>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</si>
  <si>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</si>
  <si>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</si>
  <si>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</si>
  <si>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</si>
  <si>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</si>
  <si>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</si>
  <si>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</si>
  <si>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</si>
  <si>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</si>
  <si>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</si>
  <si>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</si>
  <si>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</si>
  <si>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</si>
  <si>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</si>
  <si>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</si>
  <si>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</si>
  <si>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</si>
  <si>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</si>
  <si>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</si>
  <si>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</si>
  <si>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</si>
  <si>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</si>
  <si>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</si>
  <si>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</si>
  <si>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</si>
  <si>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</si>
  <si>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</si>
  <si>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</si>
  <si>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</si>
  <si>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</si>
  <si>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</si>
  <si>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</si>
  <si>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</si>
  <si>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</si>
  <si>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</si>
  <si>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</si>
  <si>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</si>
  <si>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</si>
  <si>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</si>
  <si>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</si>
  <si>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</si>
  <si>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</si>
  <si>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</si>
  <si>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</si>
  <si>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</si>
  <si>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</si>
  <si>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</si>
  <si>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</si>
  <si>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</si>
  <si>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</si>
  <si>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</si>
  <si>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</si>
  <si>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</si>
  <si>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</si>
  <si>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</si>
  <si>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</si>
  <si>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</si>
  <si>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</si>
  <si>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</si>
  <si>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</si>
  <si>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</si>
  <si>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</si>
  <si>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</si>
  <si>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</si>
  <si>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</si>
  <si>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</si>
  <si>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</si>
  <si>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</si>
  <si>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</si>
  <si>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</si>
  <si>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</si>
  <si>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</si>
  <si>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</si>
  <si>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</si>
  <si>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</si>
  <si>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</si>
  <si>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Poznámka:</t>
  </si>
  <si>
    <t>Kód</t>
  </si>
  <si>
    <t>0</t>
  </si>
  <si>
    <t>003VD</t>
  </si>
  <si>
    <t>004VD</t>
  </si>
  <si>
    <t>230230016R00</t>
  </si>
  <si>
    <t>722290234R00</t>
  </si>
  <si>
    <t>005VD</t>
  </si>
  <si>
    <t>006VD</t>
  </si>
  <si>
    <t>007VD</t>
  </si>
  <si>
    <t>275310030RA0</t>
  </si>
  <si>
    <t>139601101T00</t>
  </si>
  <si>
    <t>174101102R00</t>
  </si>
  <si>
    <t>008VD</t>
  </si>
  <si>
    <t>009VD</t>
  </si>
  <si>
    <t>342256253R00</t>
  </si>
  <si>
    <t>317121101R00</t>
  </si>
  <si>
    <t>59534153</t>
  </si>
  <si>
    <t>632411904R00</t>
  </si>
  <si>
    <t>602011131RT5</t>
  </si>
  <si>
    <t>784450075RA0</t>
  </si>
  <si>
    <t>457311116R00</t>
  </si>
  <si>
    <t>630900020RAB</t>
  </si>
  <si>
    <t>771990010RA0</t>
  </si>
  <si>
    <t>642942111R00</t>
  </si>
  <si>
    <t>55330367</t>
  </si>
  <si>
    <t>001VD</t>
  </si>
  <si>
    <t>711</t>
  </si>
  <si>
    <t>711212002RT3</t>
  </si>
  <si>
    <t>711212601RT2</t>
  </si>
  <si>
    <t>711212602RT2</t>
  </si>
  <si>
    <t>711212611RT2</t>
  </si>
  <si>
    <t>721</t>
  </si>
  <si>
    <t>721223420R00</t>
  </si>
  <si>
    <t>725</t>
  </si>
  <si>
    <t>725820801R00</t>
  </si>
  <si>
    <t>725860213R00</t>
  </si>
  <si>
    <t>725845811RT1</t>
  </si>
  <si>
    <t>725823111R00</t>
  </si>
  <si>
    <t>725037142R00</t>
  </si>
  <si>
    <t>002VD</t>
  </si>
  <si>
    <t>725814102R00</t>
  </si>
  <si>
    <t>541322426</t>
  </si>
  <si>
    <t>771</t>
  </si>
  <si>
    <t>781101121R00</t>
  </si>
  <si>
    <t>24616010</t>
  </si>
  <si>
    <t>771575109RU1</t>
  </si>
  <si>
    <t>597642030</t>
  </si>
  <si>
    <t>585820111</t>
  </si>
  <si>
    <t>771578011R00</t>
  </si>
  <si>
    <t>771579793R00</t>
  </si>
  <si>
    <t>771579791R00</t>
  </si>
  <si>
    <t>771479001R00</t>
  </si>
  <si>
    <t>781</t>
  </si>
  <si>
    <t>781900010RA0</t>
  </si>
  <si>
    <t>100001500R00</t>
  </si>
  <si>
    <t>784402801R00</t>
  </si>
  <si>
    <t>781415015RU1</t>
  </si>
  <si>
    <t>597813660</t>
  </si>
  <si>
    <t>94</t>
  </si>
  <si>
    <t>941955002R00</t>
  </si>
  <si>
    <t>95</t>
  </si>
  <si>
    <t>952901111R00</t>
  </si>
  <si>
    <t>96</t>
  </si>
  <si>
    <t>968061125R00</t>
  </si>
  <si>
    <t>968072455R00</t>
  </si>
  <si>
    <t>962031143R00</t>
  </si>
  <si>
    <t>97</t>
  </si>
  <si>
    <t>970031130R00</t>
  </si>
  <si>
    <t>970031160R00</t>
  </si>
  <si>
    <t>M21</t>
  </si>
  <si>
    <t>210290751R00</t>
  </si>
  <si>
    <t>429148036</t>
  </si>
  <si>
    <t>429148016</t>
  </si>
  <si>
    <t>728415111R00</t>
  </si>
  <si>
    <t>429727810</t>
  </si>
  <si>
    <t>429727812</t>
  </si>
  <si>
    <t>S00</t>
  </si>
  <si>
    <t>979081111R00</t>
  </si>
  <si>
    <t>979082111R00</t>
  </si>
  <si>
    <t>979093111R00</t>
  </si>
  <si>
    <t>979999999R00</t>
  </si>
  <si>
    <t>979990111R00</t>
  </si>
  <si>
    <t>Zkrácený popis</t>
  </si>
  <si>
    <t>Rozměry</t>
  </si>
  <si>
    <t>Všeobecné konstrukce a práce</t>
  </si>
  <si>
    <t>D+M Elektroinstalace, včetně zapojení el. ohřívače, revize a revizní zprávy</t>
  </si>
  <si>
    <t>D+M Rozvody vody, včetně montáže ohřívače vody</t>
  </si>
  <si>
    <t>Hlavní tlaková zkouška vzduchem 0,6 MPa, do DN 50</t>
  </si>
  <si>
    <t>Proplach a dezinfekce vodovod.potrubí do DN 80</t>
  </si>
  <si>
    <t>D+M Rozvody kanalizace</t>
  </si>
  <si>
    <t>Příplatek za stavební práce (např. bourání drážek a prostupů pro instalace a zapravení, realizace penetrace a štuku v částech po vybouraném obkadu)</t>
  </si>
  <si>
    <t>D+M Shrnovací zástěna sprch</t>
  </si>
  <si>
    <t>Základy</t>
  </si>
  <si>
    <t>2 základové patky z betonu C 16/20, včetně bednění a přípravy pro napojení vody a odpadu (pro nerezové pítka)</t>
  </si>
  <si>
    <t>Ruční výkop jam, rýh a šachet v hornině tř. 1 - 2 (výkop patky pro základ pítka a rýhy pro vodu)</t>
  </si>
  <si>
    <t>Zásyp ruční se zhutněním</t>
  </si>
  <si>
    <t>D+M Velké nerezové pítko pro dospělé včetně napojení na vodovod a odpad</t>
  </si>
  <si>
    <t>D+M Malé nerezové pítko pro děti včetně napojení na vodovod a odpad</t>
  </si>
  <si>
    <t>Zdi podpěrné a volné</t>
  </si>
  <si>
    <t>Příčka z tvárnic pórobetonových tl. 100 mm (dozdívky u dveří a nad příčkou kolem wc)</t>
  </si>
  <si>
    <t>Osazení překladu světlost otvoru do 105 cm</t>
  </si>
  <si>
    <t>Překlad nenosný 1200x250x100 mm</t>
  </si>
  <si>
    <t>Penetrace savých podkladů Cemix 0,25 l/m2</t>
  </si>
  <si>
    <t>Omítka jednovrstvá hlazená Cemix 073, ručně</t>
  </si>
  <si>
    <t>Malba disperzní, penetrace 1x, malba bílá 2x</t>
  </si>
  <si>
    <t>Podkladní a vedlejší konstrukce (kromě vozovek a železničního svršku)</t>
  </si>
  <si>
    <t>Vyrovnávací beton výplňový nebo spádový C 16/20 (vyrovnání původních spádů v části wc a vytvoření nových spádů u nových sprch)</t>
  </si>
  <si>
    <t>Podlahy a podlahové konstrukce</t>
  </si>
  <si>
    <t>Vybourání betonové mazaniny do 10 cm (část nové sprchy)</t>
  </si>
  <si>
    <t>Vybourání keramické nebo teracové dlažby (část sprchy, wc)</t>
  </si>
  <si>
    <t>Výplně otvorů</t>
  </si>
  <si>
    <t>Osazení zárubní dveřních ocelových, pl. do 2,5 m2</t>
  </si>
  <si>
    <t>Zárubeň ocelová YH 75 700x1970x75</t>
  </si>
  <si>
    <t>D+M Dveřní křídlo s ventilační mřížkou 50/300</t>
  </si>
  <si>
    <t>Izolace proti vodě</t>
  </si>
  <si>
    <t>Hydroizolační povlak - nátěr nebo stěrka (sprchy)</t>
  </si>
  <si>
    <t>Těsnicí pás do spoje podlaha - stěna (sprchy)</t>
  </si>
  <si>
    <t>Těsnicí roh vnější, vnitřní do spoje podlaha-stěna</t>
  </si>
  <si>
    <t>Těsnicí pás do svislých koutů</t>
  </si>
  <si>
    <t>Vnitřní kanalizace</t>
  </si>
  <si>
    <t>D+M Vpusť podlahová se zápach.uzávěr.(sprchy)</t>
  </si>
  <si>
    <t>Zařizovací předměty</t>
  </si>
  <si>
    <t>Demontáž baterie nástěnné do G 3/4</t>
  </si>
  <si>
    <t>D+M Sifon umyvadlový</t>
  </si>
  <si>
    <t>D+M Baterie termost.sprchová nástěn.</t>
  </si>
  <si>
    <t>D+M Baterie umyvadlová</t>
  </si>
  <si>
    <t>D+M Umyvadlo</t>
  </si>
  <si>
    <t>D+M WC kombi mísa s nádržkou</t>
  </si>
  <si>
    <t>D+M Ventil rohový pro WC a umyvadla</t>
  </si>
  <si>
    <t>Ohřívač vody elektrický zásobníkový 180l</t>
  </si>
  <si>
    <t>Podlahy z dlaždic</t>
  </si>
  <si>
    <t>Provedení penetrace podkladu - práce</t>
  </si>
  <si>
    <t>Penetrace podlahová</t>
  </si>
  <si>
    <t>Montáž podlah keram.,hladké, tmel, 30x30 cm, zaoblené rohy</t>
  </si>
  <si>
    <t>Dlažba</t>
  </si>
  <si>
    <t>Příplatek k flex. lepidlu (rezerva, hlavní část lepidla je zahrnuta v montážní položce)</t>
  </si>
  <si>
    <t>Spára podlaha - stěna, silikonem (sprchy)</t>
  </si>
  <si>
    <t>Příplatek za spárovací hmotu - plošně,keram.dlažba</t>
  </si>
  <si>
    <t>Příplatek za plochu podlah keram. do 5 m2 jednotl.</t>
  </si>
  <si>
    <t>Příplatek - Řezání dlaždic a obkladů</t>
  </si>
  <si>
    <t>Obklady (keramické)</t>
  </si>
  <si>
    <t>Odsekání obkladů vnitřních</t>
  </si>
  <si>
    <t>Dočištění stěny</t>
  </si>
  <si>
    <t>Odstranění malby oškrábáním v místnosti H do 3,8 m (v místě nových obkladů)</t>
  </si>
  <si>
    <t>Penetrace stěn</t>
  </si>
  <si>
    <t>Montáž obkladů stěn (wc, sprchy a za umyvadly), zaoblené rohy</t>
  </si>
  <si>
    <t>Obkládačka 20x25 bílá mat</t>
  </si>
  <si>
    <t>Spára rohy, silikonem (sprchy)</t>
  </si>
  <si>
    <t>Příplatek za spárovací hmotu - plošně,keram.obklad</t>
  </si>
  <si>
    <t>Lešení a stavební výtahy</t>
  </si>
  <si>
    <t>Lešení lehké pomocné, výška podlahy do 1,9 m</t>
  </si>
  <si>
    <t>Různé dokončovací konstrukce a práce na pozemních stavbách</t>
  </si>
  <si>
    <t>Vyčištění budov o výšce podlaží do 4 m (po bourání)</t>
  </si>
  <si>
    <t>Vyčištění budov o výšce podlaží do 4 m (po dokončení prací)</t>
  </si>
  <si>
    <t>Bourání konstrukcí</t>
  </si>
  <si>
    <t>Vyvěšení dřevěných dveřních křídel pl. do 2 m2</t>
  </si>
  <si>
    <t>Vybourání kovových dveřních zárubní pl. do 2 m2</t>
  </si>
  <si>
    <t>Bourání příček z tvárnic pórobetonových tl. 100 mm</t>
  </si>
  <si>
    <t>Prorážení otvorů a ostatní bourací práce</t>
  </si>
  <si>
    <t>Vrtání jádrové do zdiva cihelného do D 130 mm</t>
  </si>
  <si>
    <t>Vrtání jádrové do zdiva cihelného do D 160 mm</t>
  </si>
  <si>
    <t>Elektromontáže</t>
  </si>
  <si>
    <t>Montáž ventilátoru do 1,5 kW</t>
  </si>
  <si>
    <t>Ventilátor axiální do koupelny 150, s uzavíratelnou mřížkou</t>
  </si>
  <si>
    <t>Ventilátor axiální do koupelny 110, s uzavíratelnou mřížkou</t>
  </si>
  <si>
    <t>Montáž mřížky větrací nebo ventilační do 0,04 m2</t>
  </si>
  <si>
    <t>Mřížka kruhová PVC průměr 110 mm</t>
  </si>
  <si>
    <t>Mřížka kruhová PVC průměr 150 mm</t>
  </si>
  <si>
    <t>Běžné stavební práce</t>
  </si>
  <si>
    <t>Odvoz suti a vybour. hmot na skládku do 1 km</t>
  </si>
  <si>
    <t>Vnitrostaveništní doprava suti do 10 m</t>
  </si>
  <si>
    <t>Uložení suti na skládku bez zhutnění</t>
  </si>
  <si>
    <t>Poplatek za recyklaci suť do 10 % příměsí</t>
  </si>
  <si>
    <t>Poplatek za uložení suti - stavební keramika</t>
  </si>
  <si>
    <t>Doba výstavby:</t>
  </si>
  <si>
    <t>Začátek výstavby:</t>
  </si>
  <si>
    <t>Konec výstavby:</t>
  </si>
  <si>
    <t>Zpracováno dne:</t>
  </si>
  <si>
    <t>MJ</t>
  </si>
  <si>
    <t>soubor</t>
  </si>
  <si>
    <t>m</t>
  </si>
  <si>
    <t>m3</t>
  </si>
  <si>
    <t>m2</t>
  </si>
  <si>
    <t>kus</t>
  </si>
  <si>
    <t>kg</t>
  </si>
  <si>
    <t>t</t>
  </si>
  <si>
    <t>Množství</t>
  </si>
  <si>
    <t>Objednatel:</t>
  </si>
  <si>
    <t>Projektant:</t>
  </si>
  <si>
    <t>Zhotovitel:</t>
  </si>
  <si>
    <t>Zpracoval:</t>
  </si>
  <si>
    <t>Cena/MJ</t>
  </si>
  <si>
    <t>(Kč)</t>
  </si>
  <si>
    <t> </t>
  </si>
  <si>
    <t>Náklady (Kč)</t>
  </si>
  <si>
    <t>Dodávka</t>
  </si>
  <si>
    <t>Celkem:</t>
  </si>
  <si>
    <t>Montáž</t>
  </si>
  <si>
    <t>Celkem</t>
  </si>
  <si>
    <t>Cenová</t>
  </si>
  <si>
    <t>soustava</t>
  </si>
  <si>
    <t>RTS I / 2022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</si>
  <si>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</si>
  <si>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</si>
  <si>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</si>
  <si>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</si>
  <si>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</si>
  <si>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</si>
  <si>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</si>
  <si>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</si>
  <si>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</si>
  <si>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0_</t>
  </si>
  <si>
    <t>27_</t>
  </si>
  <si>
    <t>31_</t>
  </si>
  <si>
    <t>45_</t>
  </si>
  <si>
    <t>63_</t>
  </si>
  <si>
    <t>64_</t>
  </si>
  <si>
    <t>711_</t>
  </si>
  <si>
    <t>721_</t>
  </si>
  <si>
    <t>725_</t>
  </si>
  <si>
    <t>771_</t>
  </si>
  <si>
    <t>781_</t>
  </si>
  <si>
    <t>94_</t>
  </si>
  <si>
    <t>95_</t>
  </si>
  <si>
    <t>96_</t>
  </si>
  <si>
    <t>97_</t>
  </si>
  <si>
    <t>M21_</t>
  </si>
  <si>
    <t>S00_</t>
  </si>
  <si>
    <t>2_</t>
  </si>
  <si>
    <t>3_</t>
  </si>
  <si>
    <t>4_</t>
  </si>
  <si>
    <t>6_</t>
  </si>
  <si>
    <t>71_</t>
  </si>
  <si>
    <t>72_</t>
  </si>
  <si>
    <t>77_</t>
  </si>
  <si>
    <t>78_</t>
  </si>
  <si>
    <t>9_</t>
  </si>
  <si>
    <t>_</t>
  </si>
  <si>
    <t>MAT</t>
  </si>
  <si>
    <t>WORK</t>
  </si>
  <si>
    <t>CELK</t>
  </si>
  <si>
    <t>ISWORK</t>
  </si>
  <si>
    <t>P</t>
  </si>
  <si>
    <t>M</t>
  </si>
  <si>
    <t>GROUPCODE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</si>
  <si>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</si>
  <si>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</si>
  <si>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</si>
  <si>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</si>
  <si>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</si>
  <si>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</si>
  <si>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</si>
  <si>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</si>
  <si>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</si>
  <si>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</si>
  <si>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</si>
  <si>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</si>
  <si>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</si>
  <si>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</si>
  <si>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</si>
  <si>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</si>
  <si>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</si>
  <si>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 xml:space="preserve">Finanční rezerva </t>
  </si>
  <si>
    <t xml:space="preserve">Kompletační činnost </t>
  </si>
  <si>
    <t>Zabezpeč. staveniště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</si>
  <si>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</si>
  <si>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</si>
  <si>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</si>
  <si>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</si>
  <si>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</si>
  <si>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</si>
  <si>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</si>
  <si>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</si>
  <si>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</si>
  <si>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</si>
  <si>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</si>
  <si>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</si>
  <si>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</si>
  <si>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</si>
  <si>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</si>
  <si>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</si>
  <si>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</si>
  <si>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</si>
  <si>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</si>
  <si>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</si>
  <si>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</si>
  <si>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</si>
  <si>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</si>
  <si>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</si>
  <si>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Stavební úpravy prostoru šaten a sprch za účelem změny užívání na prostor šaten, sprch a WC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</si>
</sst>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6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2" fillId="20" borderId="0" applyNumberFormat="0" applyBorder="0" applyAlignment="0" applyProtection="0"/>
    <xf numFmtId="0" fontId="33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9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49" fontId="4" fillId="33" borderId="13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5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49" fontId="8" fillId="33" borderId="18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19" xfId="0" applyNumberFormat="1" applyFont="1" applyFill="1" applyBorder="1" applyAlignment="1" applyProtection="1">
      <alignment horizontal="left" vertical="center"/>
      <protection/>
    </xf>
    <xf numFmtId="49" fontId="4" fillId="33" borderId="18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9" xfId="0" applyNumberFormat="1" applyFont="1" applyFill="1" applyBorder="1" applyAlignment="1" applyProtection="1">
      <alignment horizontal="right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8" fillId="33" borderId="27" xfId="0" applyNumberFormat="1" applyFont="1" applyFill="1" applyBorder="1" applyAlignment="1" applyProtection="1">
      <alignment horizontal="right" vertical="center"/>
      <protection/>
    </xf>
    <xf numFmtId="49" fontId="5" fillId="0" borderId="28" xfId="0" applyNumberFormat="1" applyFont="1" applyFill="1" applyBorder="1" applyAlignment="1" applyProtection="1">
      <alignment horizontal="right" vertical="center"/>
      <protection/>
    </xf>
    <xf numFmtId="49" fontId="8" fillId="33" borderId="28" xfId="0" applyNumberFormat="1" applyFont="1" applyFill="1" applyBorder="1" applyAlignment="1" applyProtection="1">
      <alignment horizontal="right" vertical="center"/>
      <protection/>
    </xf>
    <xf numFmtId="49" fontId="6" fillId="0" borderId="28" xfId="0" applyNumberFormat="1" applyFont="1" applyFill="1" applyBorder="1" applyAlignment="1" applyProtection="1">
      <alignment horizontal="right" vertical="center"/>
      <protection/>
    </xf>
    <xf numFmtId="49" fontId="5" fillId="0" borderId="29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8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49" fontId="10" fillId="34" borderId="31" xfId="0" applyNumberFormat="1" applyFont="1" applyFill="1" applyBorder="1" applyAlignment="1" applyProtection="1">
      <alignment horizontal="center" vertical="center"/>
      <protection/>
    </xf>
    <xf numFmtId="49" fontId="11" fillId="0" borderId="32" xfId="0" applyNumberFormat="1" applyFont="1" applyFill="1" applyBorder="1" applyAlignment="1" applyProtection="1">
      <alignment horizontal="left" vertical="center"/>
      <protection/>
    </xf>
    <xf numFmtId="49" fontId="1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49" fontId="7" fillId="0" borderId="18" xfId="0" applyNumberFormat="1" applyFont="1" applyFill="1" applyBorder="1" applyAlignment="1" applyProtection="1">
      <alignment horizontal="left" vertical="center"/>
      <protection/>
    </xf>
    <xf numFmtId="49" fontId="12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" fontId="12" fillId="0" borderId="31" xfId="0" applyNumberFormat="1" applyFont="1" applyFill="1" applyBorder="1" applyAlignment="1" applyProtection="1">
      <alignment horizontal="right" vertical="center"/>
      <protection/>
    </xf>
    <xf numFmtId="49" fontId="12" fillId="0" borderId="31" xfId="0" applyNumberFormat="1" applyFont="1" applyFill="1" applyBorder="1" applyAlignment="1" applyProtection="1">
      <alignment horizontal="right" vertical="center"/>
      <protection/>
    </xf>
    <xf numFmtId="4" fontId="12" fillId="0" borderId="23" xfId="0" applyNumberFormat="1" applyFont="1" applyFill="1" applyBorder="1" applyAlignment="1" applyProtection="1">
      <alignment horizontal="right"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4" fontId="11" fillId="34" borderId="37" xfId="0" applyNumberFormat="1" applyFont="1" applyFill="1" applyBorder="1" applyAlignment="1" applyProtection="1">
      <alignment horizontal="right" vertical="center"/>
      <protection/>
    </xf>
    <xf numFmtId="0" fontId="1" fillId="0" borderId="19" xfId="0" applyNumberFormat="1" applyFont="1" applyFill="1" applyBorder="1" applyAlignment="1" applyProtection="1">
      <alignment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38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35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44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35" xfId="0" applyNumberFormat="1" applyFont="1" applyFill="1" applyBorder="1" applyAlignment="1" applyProtection="1">
      <alignment horizontal="left" vertical="center"/>
      <protection/>
    </xf>
    <xf numFmtId="49" fontId="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49" fontId="9" fillId="0" borderId="45" xfId="0" applyNumberFormat="1" applyFont="1" applyFill="1" applyBorder="1" applyAlignment="1" applyProtection="1">
      <alignment horizontal="center" vertical="center"/>
      <protection/>
    </xf>
    <xf numFmtId="0" fontId="9" fillId="0" borderId="45" xfId="0" applyNumberFormat="1" applyFont="1" applyFill="1" applyBorder="1" applyAlignment="1" applyProtection="1">
      <alignment horizontal="center" vertical="center"/>
      <protection/>
    </xf>
    <xf numFmtId="49" fontId="13" fillId="0" borderId="36" xfId="0" applyNumberFormat="1" applyFont="1" applyFill="1" applyBorder="1" applyAlignment="1" applyProtection="1">
      <alignment horizontal="left" vertical="center"/>
      <protection/>
    </xf>
    <xf numFmtId="0" fontId="13" fillId="0" borderId="37" xfId="0" applyNumberFormat="1" applyFont="1" applyFill="1" applyBorder="1" applyAlignment="1" applyProtection="1">
      <alignment horizontal="left" vertical="center"/>
      <protection/>
    </xf>
    <xf numFmtId="49" fontId="12" fillId="0" borderId="36" xfId="0" applyNumberFormat="1" applyFont="1" applyFill="1" applyBorder="1" applyAlignment="1" applyProtection="1">
      <alignment horizontal="left" vertical="center"/>
      <protection/>
    </xf>
    <xf numFmtId="0" fontId="12" fillId="0" borderId="37" xfId="0" applyNumberFormat="1" applyFont="1" applyFill="1" applyBorder="1" applyAlignment="1" applyProtection="1">
      <alignment horizontal="left" vertical="center"/>
      <protection/>
    </xf>
    <xf numFmtId="49" fontId="11" fillId="0" borderId="36" xfId="0" applyNumberFormat="1" applyFont="1" applyFill="1" applyBorder="1" applyAlignment="1" applyProtection="1">
      <alignment horizontal="left" vertical="center"/>
      <protection/>
    </xf>
    <xf numFmtId="0" fontId="11" fillId="0" borderId="37" xfId="0" applyNumberFormat="1" applyFont="1" applyFill="1" applyBorder="1" applyAlignment="1" applyProtection="1">
      <alignment horizontal="left" vertical="center"/>
      <protection/>
    </xf>
    <xf numFmtId="49" fontId="11" fillId="34" borderId="36" xfId="0" applyNumberFormat="1" applyFont="1" applyFill="1" applyBorder="1" applyAlignment="1" applyProtection="1">
      <alignment horizontal="left" vertical="center"/>
      <protection/>
    </xf>
    <xf numFmtId="0" fontId="11" fillId="34" borderId="45" xfId="0" applyNumberFormat="1" applyFont="1" applyFill="1" applyBorder="1" applyAlignment="1" applyProtection="1">
      <alignment horizontal="left" vertical="center"/>
      <protection/>
    </xf>
    <xf numFmtId="49" fontId="12" fillId="0" borderId="46" xfId="0" applyNumberFormat="1" applyFont="1" applyFill="1" applyBorder="1" applyAlignment="1" applyProtection="1">
      <alignment horizontal="left" vertical="center"/>
      <protection/>
    </xf>
    <xf numFmtId="0" fontId="12" fillId="0" borderId="18" xfId="0" applyNumberFormat="1" applyFont="1" applyFill="1" applyBorder="1" applyAlignment="1" applyProtection="1">
      <alignment horizontal="left" vertical="center"/>
      <protection/>
    </xf>
    <xf numFmtId="0" fontId="12" fillId="0" borderId="47" xfId="0" applyNumberFormat="1" applyFont="1" applyFill="1" applyBorder="1" applyAlignment="1" applyProtection="1">
      <alignment horizontal="left" vertical="center"/>
      <protection/>
    </xf>
    <xf numFmtId="49" fontId="12" fillId="0" borderId="30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48" xfId="0" applyNumberFormat="1" applyFont="1" applyFill="1" applyBorder="1" applyAlignment="1" applyProtection="1">
      <alignment horizontal="left" vertical="center"/>
      <protection/>
    </xf>
    <xf numFmtId="49" fontId="12" fillId="0" borderId="49" xfId="0" applyNumberFormat="1" applyFont="1" applyFill="1" applyBorder="1" applyAlignment="1" applyProtection="1">
      <alignment horizontal="left" vertical="center"/>
      <protection/>
    </xf>
    <xf numFmtId="0" fontId="12" fillId="0" borderId="40" xfId="0" applyNumberFormat="1" applyFont="1" applyFill="1" applyBorder="1" applyAlignment="1" applyProtection="1">
      <alignment horizontal="left" vertical="center"/>
      <protection/>
    </xf>
    <xf numFmtId="0" fontId="12" fillId="0" borderId="50" xfId="0" applyNumberFormat="1" applyFont="1" applyFill="1" applyBorder="1" applyAlignment="1" applyProtection="1">
      <alignment horizontal="left" vertical="center"/>
      <protection/>
    </xf>
    <xf numFmtId="49" fontId="3" fillId="0" borderId="39" xfId="0" applyNumberFormat="1" applyFont="1" applyFill="1" applyBorder="1" applyAlignment="1" applyProtection="1">
      <alignment horizontal="left" vertical="center" wrapText="1"/>
      <protection/>
    </xf>
    <xf numFmtId="0" fontId="3" fillId="0" borderId="40" xfId="0" applyNumberFormat="1" applyFont="1" applyFill="1" applyBorder="1" applyAlignment="1" applyProtection="1">
      <alignment horizontal="left" vertical="center" wrapText="1"/>
      <protection/>
    </xf>
    <xf numFmtId="0" fontId="3" fillId="0" borderId="41" xfId="0" applyNumberFormat="1" applyFont="1" applyFill="1" applyBorder="1" applyAlignment="1" applyProtection="1">
      <alignment horizontal="left" vertical="center" wrapText="1"/>
      <protection/>
    </xf>
    <xf numFmtId="49" fontId="8" fillId="33" borderId="18" xfId="0" applyNumberFormat="1" applyFont="1" applyFill="1" applyBorder="1" applyAlignment="1" applyProtection="1">
      <alignment horizontal="left" vertical="center" wrapText="1"/>
      <protection/>
    </xf>
    <xf numFmtId="0" fontId="8" fillId="33" borderId="18" xfId="0" applyNumberFormat="1" applyFont="1" applyFill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49" fontId="8" fillId="33" borderId="0" xfId="0" applyNumberFormat="1" applyFont="1" applyFill="1" applyBorder="1" applyAlignment="1" applyProtection="1">
      <alignment horizontal="left" vertical="center" wrapText="1"/>
      <protection/>
    </xf>
    <xf numFmtId="0" fontId="8" fillId="33" borderId="0" xfId="0" applyNumberFormat="1" applyFont="1" applyFill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49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6"/>
  <sheetViews>
    <sheetView zoomScalePageLayoutView="0" workbookViewId="0" topLeftCell="A1">
      <selection activeCell="J8" sqref="J8:M9"/>
    </sheetView>
  </sheetViews>
  <sheetFormatPr defaultColWidth="11.57421875" defaultRowHeight="12.75"/>
  <cols>
    <col min="1" max="1" width="3.7109375" style="0" customWidth="1"/>
    <col min="2" max="2" width="14.28125" style="0" customWidth="1"/>
    <col min="3" max="3" width="1.57421875" style="0" customWidth="1"/>
    <col min="4" max="4" width="65.7109375" style="0" customWidth="1"/>
    <col min="5" max="6" width="12.140625" style="0" customWidth="1"/>
    <col min="7" max="7" width="8.00390625" style="0" customWidth="1"/>
    <col min="8" max="8" width="12.7109375" style="0" customWidth="1"/>
    <col min="9" max="9" width="12.00390625" style="0" customWidth="1"/>
    <col min="10" max="12" width="14.28125" style="0" customWidth="1"/>
    <col min="13" max="13" width="14.00390625" style="0" customWidth="1"/>
    <col min="14" max="24" width="11.57421875" style="0" customWidth="1"/>
    <col min="25" max="64" width="9.7109375" style="0" hidden="1" customWidth="1"/>
  </cols>
  <sheetData>
    <row r="1" spans="1:13" ht="72.75" customHeight="1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4" ht="12.75">
      <c r="A2" s="66" t="s">
        <v>1</v>
      </c>
      <c r="B2" s="67"/>
      <c r="C2" s="70" t="s">
        <v>372</v>
      </c>
      <c r="D2" s="71"/>
      <c r="E2" s="73" t="s">
        <v>257</v>
      </c>
      <c r="F2" s="67"/>
      <c r="G2" s="73" t="s">
        <v>6</v>
      </c>
      <c r="H2" s="67"/>
      <c r="I2" s="74" t="s">
        <v>270</v>
      </c>
      <c r="J2" s="73" t="s">
        <v>276</v>
      </c>
      <c r="K2" s="67"/>
      <c r="L2" s="67"/>
      <c r="M2" s="75"/>
      <c r="N2" s="35"/>
    </row>
    <row r="3" spans="1:14" ht="12.75">
      <c r="A3" s="68"/>
      <c r="B3" s="69"/>
      <c r="C3" s="72"/>
      <c r="D3" s="72"/>
      <c r="E3" s="69"/>
      <c r="F3" s="69"/>
      <c r="G3" s="69"/>
      <c r="H3" s="69"/>
      <c r="I3" s="69"/>
      <c r="J3" s="69"/>
      <c r="K3" s="69"/>
      <c r="L3" s="69"/>
      <c r="M3" s="76"/>
      <c r="N3" s="35"/>
    </row>
    <row r="4" spans="1:14" ht="12.75">
      <c r="A4" s="77" t="s">
        <v>2</v>
      </c>
      <c r="B4" s="69"/>
      <c r="C4" s="78" t="s">
        <v>6</v>
      </c>
      <c r="D4" s="69"/>
      <c r="E4" s="79" t="s">
        <v>258</v>
      </c>
      <c r="F4" s="69"/>
      <c r="G4" s="79" t="s">
        <v>6</v>
      </c>
      <c r="H4" s="69"/>
      <c r="I4" s="78" t="s">
        <v>271</v>
      </c>
      <c r="J4" s="79" t="s">
        <v>276</v>
      </c>
      <c r="K4" s="69"/>
      <c r="L4" s="69"/>
      <c r="M4" s="76"/>
      <c r="N4" s="35"/>
    </row>
    <row r="5" spans="1:14" ht="12.75">
      <c r="A5" s="68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76"/>
      <c r="N5" s="35"/>
    </row>
    <row r="6" spans="1:14" ht="12.75">
      <c r="A6" s="77" t="s">
        <v>3</v>
      </c>
      <c r="B6" s="69"/>
      <c r="C6" s="78" t="s">
        <v>6</v>
      </c>
      <c r="D6" s="69"/>
      <c r="E6" s="79" t="s">
        <v>259</v>
      </c>
      <c r="F6" s="69"/>
      <c r="G6" s="79" t="s">
        <v>6</v>
      </c>
      <c r="H6" s="69"/>
      <c r="I6" s="78" t="s">
        <v>272</v>
      </c>
      <c r="J6" s="79" t="s">
        <v>276</v>
      </c>
      <c r="K6" s="69"/>
      <c r="L6" s="69"/>
      <c r="M6" s="76"/>
      <c r="N6" s="35"/>
    </row>
    <row r="7" spans="1:14" ht="12.75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76"/>
      <c r="N7" s="35"/>
    </row>
    <row r="8" spans="1:14" ht="12.75">
      <c r="A8" s="77" t="s">
        <v>4</v>
      </c>
      <c r="B8" s="69"/>
      <c r="C8" s="78" t="s">
        <v>6</v>
      </c>
      <c r="D8" s="69"/>
      <c r="E8" s="79" t="s">
        <v>260</v>
      </c>
      <c r="F8" s="69"/>
      <c r="G8" s="79"/>
      <c r="H8" s="69"/>
      <c r="I8" s="78" t="s">
        <v>273</v>
      </c>
      <c r="J8" s="79" t="s">
        <v>276</v>
      </c>
      <c r="K8" s="69"/>
      <c r="L8" s="69"/>
      <c r="M8" s="76"/>
      <c r="N8" s="35"/>
    </row>
    <row r="9" spans="1:14" ht="12.75">
      <c r="A9" s="80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2"/>
      <c r="N9" s="35"/>
    </row>
    <row r="10" spans="1:64" ht="12.75">
      <c r="A10" s="1" t="s">
        <v>5</v>
      </c>
      <c r="B10" s="10" t="s">
        <v>83</v>
      </c>
      <c r="C10" s="83" t="s">
        <v>165</v>
      </c>
      <c r="D10" s="84"/>
      <c r="E10" s="84"/>
      <c r="F10" s="85"/>
      <c r="G10" s="10" t="s">
        <v>261</v>
      </c>
      <c r="H10" s="19" t="s">
        <v>269</v>
      </c>
      <c r="I10" s="23" t="s">
        <v>274</v>
      </c>
      <c r="J10" s="86" t="s">
        <v>277</v>
      </c>
      <c r="K10" s="87"/>
      <c r="L10" s="88"/>
      <c r="M10" s="28" t="s">
        <v>282</v>
      </c>
      <c r="N10" s="36"/>
      <c r="BK10" s="37" t="s">
        <v>324</v>
      </c>
      <c r="BL10" s="42" t="s">
        <v>327</v>
      </c>
    </row>
    <row r="11" spans="1:62" ht="12.75">
      <c r="A11" s="2" t="s">
        <v>6</v>
      </c>
      <c r="B11" s="11" t="s">
        <v>6</v>
      </c>
      <c r="C11" s="116" t="s">
        <v>166</v>
      </c>
      <c r="D11" s="117"/>
      <c r="E11" s="117"/>
      <c r="F11" s="118"/>
      <c r="G11" s="11" t="s">
        <v>6</v>
      </c>
      <c r="H11" s="11" t="s">
        <v>6</v>
      </c>
      <c r="I11" s="24" t="s">
        <v>275</v>
      </c>
      <c r="J11" s="25" t="s">
        <v>278</v>
      </c>
      <c r="K11" s="26" t="s">
        <v>280</v>
      </c>
      <c r="L11" s="27" t="s">
        <v>281</v>
      </c>
      <c r="M11" s="29" t="s">
        <v>283</v>
      </c>
      <c r="N11" s="36"/>
      <c r="Z11" s="37" t="s">
        <v>285</v>
      </c>
      <c r="AA11" s="37" t="s">
        <v>286</v>
      </c>
      <c r="AB11" s="37" t="s">
        <v>287</v>
      </c>
      <c r="AC11" s="37" t="s">
        <v>288</v>
      </c>
      <c r="AD11" s="37" t="s">
        <v>289</v>
      </c>
      <c r="AE11" s="37" t="s">
        <v>290</v>
      </c>
      <c r="AF11" s="37" t="s">
        <v>291</v>
      </c>
      <c r="AG11" s="37" t="s">
        <v>292</v>
      </c>
      <c r="AH11" s="37" t="s">
        <v>293</v>
      </c>
      <c r="BH11" s="37" t="s">
        <v>321</v>
      </c>
      <c r="BI11" s="37" t="s">
        <v>322</v>
      </c>
      <c r="BJ11" s="37" t="s">
        <v>323</v>
      </c>
    </row>
    <row r="12" spans="1:47" ht="12.75">
      <c r="A12" s="3"/>
      <c r="B12" s="12" t="s">
        <v>84</v>
      </c>
      <c r="C12" s="119" t="s">
        <v>167</v>
      </c>
      <c r="D12" s="120"/>
      <c r="E12" s="120"/>
      <c r="F12" s="120"/>
      <c r="G12" s="17" t="s">
        <v>6</v>
      </c>
      <c r="H12" s="17" t="s">
        <v>6</v>
      </c>
      <c r="I12" s="17" t="s">
        <v>6</v>
      </c>
      <c r="J12" s="43">
        <f>SUM(J13:J19)</f>
        <v>0</v>
      </c>
      <c r="K12" s="43">
        <f>SUM(K13:K19)</f>
        <v>0</v>
      </c>
      <c r="L12" s="43">
        <f>SUM(L13:L19)</f>
        <v>0</v>
      </c>
      <c r="M12" s="30"/>
      <c r="N12" s="35"/>
      <c r="AI12" s="37"/>
      <c r="AS12" s="44">
        <f>SUM(AJ13:AJ19)</f>
        <v>0</v>
      </c>
      <c r="AT12" s="44">
        <f>SUM(AK13:AK19)</f>
        <v>0</v>
      </c>
      <c r="AU12" s="44">
        <f>SUM(AL13:AL19)</f>
        <v>0</v>
      </c>
    </row>
    <row r="13" spans="1:64" ht="12.75">
      <c r="A13" s="4" t="s">
        <v>7</v>
      </c>
      <c r="B13" s="13" t="s">
        <v>85</v>
      </c>
      <c r="C13" s="121" t="s">
        <v>168</v>
      </c>
      <c r="D13" s="122"/>
      <c r="E13" s="122"/>
      <c r="F13" s="122"/>
      <c r="G13" s="13" t="s">
        <v>262</v>
      </c>
      <c r="H13" s="20">
        <v>1</v>
      </c>
      <c r="I13" s="20">
        <v>0</v>
      </c>
      <c r="J13" s="20">
        <f aca="true" t="shared" si="0" ref="J13:J19">H13*AO13</f>
        <v>0</v>
      </c>
      <c r="K13" s="20">
        <f aca="true" t="shared" si="1" ref="K13:K19">H13*AP13</f>
        <v>0</v>
      </c>
      <c r="L13" s="20">
        <f aca="true" t="shared" si="2" ref="L13:L19">H13*I13</f>
        <v>0</v>
      </c>
      <c r="M13" s="31"/>
      <c r="N13" s="35"/>
      <c r="Z13" s="38">
        <f aca="true" t="shared" si="3" ref="Z13:Z19">IF(AQ13="5",BJ13,0)</f>
        <v>0</v>
      </c>
      <c r="AB13" s="38">
        <f aca="true" t="shared" si="4" ref="AB13:AB19">IF(AQ13="1",BH13,0)</f>
        <v>0</v>
      </c>
      <c r="AC13" s="38">
        <f aca="true" t="shared" si="5" ref="AC13:AC19">IF(AQ13="1",BI13,0)</f>
        <v>0</v>
      </c>
      <c r="AD13" s="38">
        <f aca="true" t="shared" si="6" ref="AD13:AD19">IF(AQ13="7",BH13,0)</f>
        <v>0</v>
      </c>
      <c r="AE13" s="38">
        <f aca="true" t="shared" si="7" ref="AE13:AE19">IF(AQ13="7",BI13,0)</f>
        <v>0</v>
      </c>
      <c r="AF13" s="38">
        <f aca="true" t="shared" si="8" ref="AF13:AF19">IF(AQ13="2",BH13,0)</f>
        <v>0</v>
      </c>
      <c r="AG13" s="38">
        <f aca="true" t="shared" si="9" ref="AG13:AG19">IF(AQ13="2",BI13,0)</f>
        <v>0</v>
      </c>
      <c r="AH13" s="38">
        <f aca="true" t="shared" si="10" ref="AH13:AH19">IF(AQ13="0",BJ13,0)</f>
        <v>0</v>
      </c>
      <c r="AI13" s="37"/>
      <c r="AJ13" s="20">
        <f aca="true" t="shared" si="11" ref="AJ13:AJ19">IF(AN13=0,L13,0)</f>
        <v>0</v>
      </c>
      <c r="AK13" s="20">
        <f aca="true" t="shared" si="12" ref="AK13:AK19">IF(AN13=15,L13,0)</f>
        <v>0</v>
      </c>
      <c r="AL13" s="20">
        <f aca="true" t="shared" si="13" ref="AL13:AL19">IF(AN13=21,L13,0)</f>
        <v>0</v>
      </c>
      <c r="AN13" s="38">
        <v>21</v>
      </c>
      <c r="AO13" s="38">
        <f>I13*0.666666666666667</f>
        <v>0</v>
      </c>
      <c r="AP13" s="38">
        <f>I13*(1-0.666666666666667)</f>
        <v>0</v>
      </c>
      <c r="AQ13" s="39" t="s">
        <v>7</v>
      </c>
      <c r="AV13" s="38">
        <f aca="true" t="shared" si="14" ref="AV13:AV19">AW13+AX13</f>
        <v>0</v>
      </c>
      <c r="AW13" s="38">
        <f aca="true" t="shared" si="15" ref="AW13:AW19">H13*AO13</f>
        <v>0</v>
      </c>
      <c r="AX13" s="38">
        <f aca="true" t="shared" si="16" ref="AX13:AX19">H13*AP13</f>
        <v>0</v>
      </c>
      <c r="AY13" s="41" t="s">
        <v>294</v>
      </c>
      <c r="AZ13" s="41" t="s">
        <v>294</v>
      </c>
      <c r="BA13" s="37" t="s">
        <v>320</v>
      </c>
      <c r="BC13" s="38">
        <f aca="true" t="shared" si="17" ref="BC13:BC19">AW13+AX13</f>
        <v>0</v>
      </c>
      <c r="BD13" s="38">
        <f aca="true" t="shared" si="18" ref="BD13:BD19">I13/(100-BE13)*100</f>
        <v>0</v>
      </c>
      <c r="BE13" s="38">
        <v>0</v>
      </c>
      <c r="BF13" s="38">
        <f>13</f>
        <v>13</v>
      </c>
      <c r="BH13" s="20">
        <f aca="true" t="shared" si="19" ref="BH13:BH19">H13*AO13</f>
        <v>0</v>
      </c>
      <c r="BI13" s="20">
        <f aca="true" t="shared" si="20" ref="BI13:BI19">H13*AP13</f>
        <v>0</v>
      </c>
      <c r="BJ13" s="20">
        <f aca="true" t="shared" si="21" ref="BJ13:BJ19">H13*I13</f>
        <v>0</v>
      </c>
      <c r="BK13" s="20" t="s">
        <v>325</v>
      </c>
      <c r="BL13" s="38">
        <v>0</v>
      </c>
    </row>
    <row r="14" spans="1:64" ht="12.75">
      <c r="A14" s="4" t="s">
        <v>8</v>
      </c>
      <c r="B14" s="13" t="s">
        <v>86</v>
      </c>
      <c r="C14" s="121" t="s">
        <v>169</v>
      </c>
      <c r="D14" s="122"/>
      <c r="E14" s="122"/>
      <c r="F14" s="122"/>
      <c r="G14" s="13" t="s">
        <v>262</v>
      </c>
      <c r="H14" s="20">
        <v>1</v>
      </c>
      <c r="I14" s="20">
        <v>0</v>
      </c>
      <c r="J14" s="20">
        <f t="shared" si="0"/>
        <v>0</v>
      </c>
      <c r="K14" s="20">
        <f t="shared" si="1"/>
        <v>0</v>
      </c>
      <c r="L14" s="20">
        <f t="shared" si="2"/>
        <v>0</v>
      </c>
      <c r="M14" s="31"/>
      <c r="N14" s="35"/>
      <c r="Z14" s="38">
        <f t="shared" si="3"/>
        <v>0</v>
      </c>
      <c r="AB14" s="38">
        <f t="shared" si="4"/>
        <v>0</v>
      </c>
      <c r="AC14" s="38">
        <f t="shared" si="5"/>
        <v>0</v>
      </c>
      <c r="AD14" s="38">
        <f t="shared" si="6"/>
        <v>0</v>
      </c>
      <c r="AE14" s="38">
        <f t="shared" si="7"/>
        <v>0</v>
      </c>
      <c r="AF14" s="38">
        <f t="shared" si="8"/>
        <v>0</v>
      </c>
      <c r="AG14" s="38">
        <f t="shared" si="9"/>
        <v>0</v>
      </c>
      <c r="AH14" s="38">
        <f t="shared" si="10"/>
        <v>0</v>
      </c>
      <c r="AI14" s="37"/>
      <c r="AJ14" s="20">
        <f t="shared" si="11"/>
        <v>0</v>
      </c>
      <c r="AK14" s="20">
        <f t="shared" si="12"/>
        <v>0</v>
      </c>
      <c r="AL14" s="20">
        <f t="shared" si="13"/>
        <v>0</v>
      </c>
      <c r="AN14" s="38">
        <v>21</v>
      </c>
      <c r="AO14" s="38">
        <f>I14*0.666666666666667</f>
        <v>0</v>
      </c>
      <c r="AP14" s="38">
        <f>I14*(1-0.666666666666667)</f>
        <v>0</v>
      </c>
      <c r="AQ14" s="39" t="s">
        <v>7</v>
      </c>
      <c r="AV14" s="38">
        <f t="shared" si="14"/>
        <v>0</v>
      </c>
      <c r="AW14" s="38">
        <f t="shared" si="15"/>
        <v>0</v>
      </c>
      <c r="AX14" s="38">
        <f t="shared" si="16"/>
        <v>0</v>
      </c>
      <c r="AY14" s="41" t="s">
        <v>294</v>
      </c>
      <c r="AZ14" s="41" t="s">
        <v>294</v>
      </c>
      <c r="BA14" s="37" t="s">
        <v>320</v>
      </c>
      <c r="BC14" s="38">
        <f t="shared" si="17"/>
        <v>0</v>
      </c>
      <c r="BD14" s="38">
        <f t="shared" si="18"/>
        <v>0</v>
      </c>
      <c r="BE14" s="38">
        <v>0</v>
      </c>
      <c r="BF14" s="38">
        <f>14</f>
        <v>14</v>
      </c>
      <c r="BH14" s="20">
        <f t="shared" si="19"/>
        <v>0</v>
      </c>
      <c r="BI14" s="20">
        <f t="shared" si="20"/>
        <v>0</v>
      </c>
      <c r="BJ14" s="20">
        <f t="shared" si="21"/>
        <v>0</v>
      </c>
      <c r="BK14" s="20" t="s">
        <v>325</v>
      </c>
      <c r="BL14" s="38">
        <v>0</v>
      </c>
    </row>
    <row r="15" spans="1:64" ht="12.75">
      <c r="A15" s="4" t="s">
        <v>9</v>
      </c>
      <c r="B15" s="13" t="s">
        <v>87</v>
      </c>
      <c r="C15" s="121" t="s">
        <v>170</v>
      </c>
      <c r="D15" s="122"/>
      <c r="E15" s="122"/>
      <c r="F15" s="122"/>
      <c r="G15" s="13" t="s">
        <v>263</v>
      </c>
      <c r="H15" s="20">
        <v>53.13</v>
      </c>
      <c r="I15" s="20">
        <v>0</v>
      </c>
      <c r="J15" s="20">
        <f t="shared" si="0"/>
        <v>0</v>
      </c>
      <c r="K15" s="20">
        <f t="shared" si="1"/>
        <v>0</v>
      </c>
      <c r="L15" s="20">
        <f t="shared" si="2"/>
        <v>0</v>
      </c>
      <c r="M15" s="31" t="s">
        <v>284</v>
      </c>
      <c r="N15" s="35"/>
      <c r="Z15" s="38">
        <f t="shared" si="3"/>
        <v>0</v>
      </c>
      <c r="AB15" s="38">
        <f t="shared" si="4"/>
        <v>0</v>
      </c>
      <c r="AC15" s="38">
        <f t="shared" si="5"/>
        <v>0</v>
      </c>
      <c r="AD15" s="38">
        <f t="shared" si="6"/>
        <v>0</v>
      </c>
      <c r="AE15" s="38">
        <f t="shared" si="7"/>
        <v>0</v>
      </c>
      <c r="AF15" s="38">
        <f t="shared" si="8"/>
        <v>0</v>
      </c>
      <c r="AG15" s="38">
        <f t="shared" si="9"/>
        <v>0</v>
      </c>
      <c r="AH15" s="38">
        <f t="shared" si="10"/>
        <v>0</v>
      </c>
      <c r="AI15" s="37"/>
      <c r="AJ15" s="20">
        <f t="shared" si="11"/>
        <v>0</v>
      </c>
      <c r="AK15" s="20">
        <f t="shared" si="12"/>
        <v>0</v>
      </c>
      <c r="AL15" s="20">
        <f t="shared" si="13"/>
        <v>0</v>
      </c>
      <c r="AN15" s="38">
        <v>21</v>
      </c>
      <c r="AO15" s="38">
        <f>I15*0</f>
        <v>0</v>
      </c>
      <c r="AP15" s="38">
        <f>I15*(1-0)</f>
        <v>0</v>
      </c>
      <c r="AQ15" s="39" t="s">
        <v>8</v>
      </c>
      <c r="AV15" s="38">
        <f t="shared" si="14"/>
        <v>0</v>
      </c>
      <c r="AW15" s="38">
        <f t="shared" si="15"/>
        <v>0</v>
      </c>
      <c r="AX15" s="38">
        <f t="shared" si="16"/>
        <v>0</v>
      </c>
      <c r="AY15" s="41" t="s">
        <v>294</v>
      </c>
      <c r="AZ15" s="41" t="s">
        <v>294</v>
      </c>
      <c r="BA15" s="37" t="s">
        <v>320</v>
      </c>
      <c r="BC15" s="38">
        <f t="shared" si="17"/>
        <v>0</v>
      </c>
      <c r="BD15" s="38">
        <f t="shared" si="18"/>
        <v>0</v>
      </c>
      <c r="BE15" s="38">
        <v>0</v>
      </c>
      <c r="BF15" s="38">
        <f>15</f>
        <v>15</v>
      </c>
      <c r="BH15" s="20">
        <f t="shared" si="19"/>
        <v>0</v>
      </c>
      <c r="BI15" s="20">
        <f t="shared" si="20"/>
        <v>0</v>
      </c>
      <c r="BJ15" s="20">
        <f t="shared" si="21"/>
        <v>0</v>
      </c>
      <c r="BK15" s="20" t="s">
        <v>325</v>
      </c>
      <c r="BL15" s="38">
        <v>0</v>
      </c>
    </row>
    <row r="16" spans="1:64" ht="12.75">
      <c r="A16" s="4" t="s">
        <v>10</v>
      </c>
      <c r="B16" s="13" t="s">
        <v>88</v>
      </c>
      <c r="C16" s="121" t="s">
        <v>171</v>
      </c>
      <c r="D16" s="122"/>
      <c r="E16" s="122"/>
      <c r="F16" s="122"/>
      <c r="G16" s="13" t="s">
        <v>263</v>
      </c>
      <c r="H16" s="20">
        <v>53.13</v>
      </c>
      <c r="I16" s="20">
        <v>0</v>
      </c>
      <c r="J16" s="20">
        <f t="shared" si="0"/>
        <v>0</v>
      </c>
      <c r="K16" s="20">
        <f t="shared" si="1"/>
        <v>0</v>
      </c>
      <c r="L16" s="20">
        <f t="shared" si="2"/>
        <v>0</v>
      </c>
      <c r="M16" s="31" t="s">
        <v>284</v>
      </c>
      <c r="N16" s="35"/>
      <c r="Z16" s="38">
        <f t="shared" si="3"/>
        <v>0</v>
      </c>
      <c r="AB16" s="38">
        <f t="shared" si="4"/>
        <v>0</v>
      </c>
      <c r="AC16" s="38">
        <f t="shared" si="5"/>
        <v>0</v>
      </c>
      <c r="AD16" s="38">
        <f t="shared" si="6"/>
        <v>0</v>
      </c>
      <c r="AE16" s="38">
        <f t="shared" si="7"/>
        <v>0</v>
      </c>
      <c r="AF16" s="38">
        <f t="shared" si="8"/>
        <v>0</v>
      </c>
      <c r="AG16" s="38">
        <f t="shared" si="9"/>
        <v>0</v>
      </c>
      <c r="AH16" s="38">
        <f t="shared" si="10"/>
        <v>0</v>
      </c>
      <c r="AI16" s="37"/>
      <c r="AJ16" s="20">
        <f t="shared" si="11"/>
        <v>0</v>
      </c>
      <c r="AK16" s="20">
        <f t="shared" si="12"/>
        <v>0</v>
      </c>
      <c r="AL16" s="20">
        <f t="shared" si="13"/>
        <v>0</v>
      </c>
      <c r="AN16" s="38">
        <v>21</v>
      </c>
      <c r="AO16" s="38">
        <f>I16*0.0501621699674549</f>
        <v>0</v>
      </c>
      <c r="AP16" s="38">
        <f>I16*(1-0.0501621699674549)</f>
        <v>0</v>
      </c>
      <c r="AQ16" s="39" t="s">
        <v>7</v>
      </c>
      <c r="AV16" s="38">
        <f t="shared" si="14"/>
        <v>0</v>
      </c>
      <c r="AW16" s="38">
        <f t="shared" si="15"/>
        <v>0</v>
      </c>
      <c r="AX16" s="38">
        <f t="shared" si="16"/>
        <v>0</v>
      </c>
      <c r="AY16" s="41" t="s">
        <v>294</v>
      </c>
      <c r="AZ16" s="41" t="s">
        <v>294</v>
      </c>
      <c r="BA16" s="37" t="s">
        <v>320</v>
      </c>
      <c r="BC16" s="38">
        <f t="shared" si="17"/>
        <v>0</v>
      </c>
      <c r="BD16" s="38">
        <f t="shared" si="18"/>
        <v>0</v>
      </c>
      <c r="BE16" s="38">
        <v>0</v>
      </c>
      <c r="BF16" s="38">
        <f>16</f>
        <v>16</v>
      </c>
      <c r="BH16" s="20">
        <f t="shared" si="19"/>
        <v>0</v>
      </c>
      <c r="BI16" s="20">
        <f t="shared" si="20"/>
        <v>0</v>
      </c>
      <c r="BJ16" s="20">
        <f t="shared" si="21"/>
        <v>0</v>
      </c>
      <c r="BK16" s="20" t="s">
        <v>325</v>
      </c>
      <c r="BL16" s="38">
        <v>0</v>
      </c>
    </row>
    <row r="17" spans="1:64" ht="12.75">
      <c r="A17" s="4" t="s">
        <v>11</v>
      </c>
      <c r="B17" s="13" t="s">
        <v>89</v>
      </c>
      <c r="C17" s="121" t="s">
        <v>172</v>
      </c>
      <c r="D17" s="122"/>
      <c r="E17" s="122"/>
      <c r="F17" s="122"/>
      <c r="G17" s="13" t="s">
        <v>262</v>
      </c>
      <c r="H17" s="20">
        <v>1</v>
      </c>
      <c r="I17" s="20">
        <v>0</v>
      </c>
      <c r="J17" s="20">
        <f t="shared" si="0"/>
        <v>0</v>
      </c>
      <c r="K17" s="20">
        <f t="shared" si="1"/>
        <v>0</v>
      </c>
      <c r="L17" s="20">
        <f t="shared" si="2"/>
        <v>0</v>
      </c>
      <c r="M17" s="31"/>
      <c r="N17" s="35"/>
      <c r="Z17" s="38">
        <f t="shared" si="3"/>
        <v>0</v>
      </c>
      <c r="AB17" s="38">
        <f t="shared" si="4"/>
        <v>0</v>
      </c>
      <c r="AC17" s="38">
        <f t="shared" si="5"/>
        <v>0</v>
      </c>
      <c r="AD17" s="38">
        <f t="shared" si="6"/>
        <v>0</v>
      </c>
      <c r="AE17" s="38">
        <f t="shared" si="7"/>
        <v>0</v>
      </c>
      <c r="AF17" s="38">
        <f t="shared" si="8"/>
        <v>0</v>
      </c>
      <c r="AG17" s="38">
        <f t="shared" si="9"/>
        <v>0</v>
      </c>
      <c r="AH17" s="38">
        <f t="shared" si="10"/>
        <v>0</v>
      </c>
      <c r="AI17" s="37"/>
      <c r="AJ17" s="20">
        <f t="shared" si="11"/>
        <v>0</v>
      </c>
      <c r="AK17" s="20">
        <f t="shared" si="12"/>
        <v>0</v>
      </c>
      <c r="AL17" s="20">
        <f t="shared" si="13"/>
        <v>0</v>
      </c>
      <c r="AN17" s="38">
        <v>21</v>
      </c>
      <c r="AO17" s="38">
        <f>I17*0.666666666666667</f>
        <v>0</v>
      </c>
      <c r="AP17" s="38">
        <f>I17*(1-0.666666666666667)</f>
        <v>0</v>
      </c>
      <c r="AQ17" s="39" t="s">
        <v>7</v>
      </c>
      <c r="AV17" s="38">
        <f t="shared" si="14"/>
        <v>0</v>
      </c>
      <c r="AW17" s="38">
        <f t="shared" si="15"/>
        <v>0</v>
      </c>
      <c r="AX17" s="38">
        <f t="shared" si="16"/>
        <v>0</v>
      </c>
      <c r="AY17" s="41" t="s">
        <v>294</v>
      </c>
      <c r="AZ17" s="41" t="s">
        <v>294</v>
      </c>
      <c r="BA17" s="37" t="s">
        <v>320</v>
      </c>
      <c r="BC17" s="38">
        <f t="shared" si="17"/>
        <v>0</v>
      </c>
      <c r="BD17" s="38">
        <f t="shared" si="18"/>
        <v>0</v>
      </c>
      <c r="BE17" s="38">
        <v>0</v>
      </c>
      <c r="BF17" s="38">
        <f>17</f>
        <v>17</v>
      </c>
      <c r="BH17" s="20">
        <f t="shared" si="19"/>
        <v>0</v>
      </c>
      <c r="BI17" s="20">
        <f t="shared" si="20"/>
        <v>0</v>
      </c>
      <c r="BJ17" s="20">
        <f t="shared" si="21"/>
        <v>0</v>
      </c>
      <c r="BK17" s="20" t="s">
        <v>325</v>
      </c>
      <c r="BL17" s="38">
        <v>0</v>
      </c>
    </row>
    <row r="18" spans="1:64" ht="27" customHeight="1">
      <c r="A18" s="4" t="s">
        <v>12</v>
      </c>
      <c r="B18" s="13" t="s">
        <v>90</v>
      </c>
      <c r="C18" s="121" t="s">
        <v>173</v>
      </c>
      <c r="D18" s="122"/>
      <c r="E18" s="122"/>
      <c r="F18" s="122"/>
      <c r="G18" s="13" t="s">
        <v>262</v>
      </c>
      <c r="H18" s="20">
        <v>1</v>
      </c>
      <c r="I18" s="20">
        <v>0</v>
      </c>
      <c r="J18" s="20">
        <f t="shared" si="0"/>
        <v>0</v>
      </c>
      <c r="K18" s="20">
        <f t="shared" si="1"/>
        <v>0</v>
      </c>
      <c r="L18" s="20">
        <f t="shared" si="2"/>
        <v>0</v>
      </c>
      <c r="M18" s="31"/>
      <c r="N18" s="35"/>
      <c r="Z18" s="38">
        <f t="shared" si="3"/>
        <v>0</v>
      </c>
      <c r="AB18" s="38">
        <f t="shared" si="4"/>
        <v>0</v>
      </c>
      <c r="AC18" s="38">
        <f t="shared" si="5"/>
        <v>0</v>
      </c>
      <c r="AD18" s="38">
        <f t="shared" si="6"/>
        <v>0</v>
      </c>
      <c r="AE18" s="38">
        <f t="shared" si="7"/>
        <v>0</v>
      </c>
      <c r="AF18" s="38">
        <f t="shared" si="8"/>
        <v>0</v>
      </c>
      <c r="AG18" s="38">
        <f t="shared" si="9"/>
        <v>0</v>
      </c>
      <c r="AH18" s="38">
        <f t="shared" si="10"/>
        <v>0</v>
      </c>
      <c r="AI18" s="37"/>
      <c r="AJ18" s="20">
        <f t="shared" si="11"/>
        <v>0</v>
      </c>
      <c r="AK18" s="20">
        <f t="shared" si="12"/>
        <v>0</v>
      </c>
      <c r="AL18" s="20">
        <f t="shared" si="13"/>
        <v>0</v>
      </c>
      <c r="AN18" s="38">
        <v>21</v>
      </c>
      <c r="AO18" s="38">
        <f>I18*0.5</f>
        <v>0</v>
      </c>
      <c r="AP18" s="38">
        <f>I18*(1-0.5)</f>
        <v>0</v>
      </c>
      <c r="AQ18" s="39" t="s">
        <v>7</v>
      </c>
      <c r="AV18" s="38">
        <f t="shared" si="14"/>
        <v>0</v>
      </c>
      <c r="AW18" s="38">
        <f t="shared" si="15"/>
        <v>0</v>
      </c>
      <c r="AX18" s="38">
        <f t="shared" si="16"/>
        <v>0</v>
      </c>
      <c r="AY18" s="41" t="s">
        <v>294</v>
      </c>
      <c r="AZ18" s="41" t="s">
        <v>294</v>
      </c>
      <c r="BA18" s="37" t="s">
        <v>320</v>
      </c>
      <c r="BC18" s="38">
        <f t="shared" si="17"/>
        <v>0</v>
      </c>
      <c r="BD18" s="38">
        <f t="shared" si="18"/>
        <v>0</v>
      </c>
      <c r="BE18" s="38">
        <v>0</v>
      </c>
      <c r="BF18" s="38">
        <f>18</f>
        <v>18</v>
      </c>
      <c r="BH18" s="20">
        <f t="shared" si="19"/>
        <v>0</v>
      </c>
      <c r="BI18" s="20">
        <f t="shared" si="20"/>
        <v>0</v>
      </c>
      <c r="BJ18" s="20">
        <f t="shared" si="21"/>
        <v>0</v>
      </c>
      <c r="BK18" s="20" t="s">
        <v>325</v>
      </c>
      <c r="BL18" s="38">
        <v>0</v>
      </c>
    </row>
    <row r="19" spans="1:64" ht="12.75">
      <c r="A19" s="4" t="s">
        <v>13</v>
      </c>
      <c r="B19" s="13" t="s">
        <v>91</v>
      </c>
      <c r="C19" s="121" t="s">
        <v>174</v>
      </c>
      <c r="D19" s="122"/>
      <c r="E19" s="122"/>
      <c r="F19" s="122"/>
      <c r="G19" s="13" t="s">
        <v>262</v>
      </c>
      <c r="H19" s="20">
        <v>2</v>
      </c>
      <c r="I19" s="20">
        <v>0</v>
      </c>
      <c r="J19" s="20">
        <f t="shared" si="0"/>
        <v>0</v>
      </c>
      <c r="K19" s="20">
        <f t="shared" si="1"/>
        <v>0</v>
      </c>
      <c r="L19" s="20">
        <f t="shared" si="2"/>
        <v>0</v>
      </c>
      <c r="M19" s="31"/>
      <c r="N19" s="35"/>
      <c r="Z19" s="38">
        <f t="shared" si="3"/>
        <v>0</v>
      </c>
      <c r="AB19" s="38">
        <f t="shared" si="4"/>
        <v>0</v>
      </c>
      <c r="AC19" s="38">
        <f t="shared" si="5"/>
        <v>0</v>
      </c>
      <c r="AD19" s="38">
        <f t="shared" si="6"/>
        <v>0</v>
      </c>
      <c r="AE19" s="38">
        <f t="shared" si="7"/>
        <v>0</v>
      </c>
      <c r="AF19" s="38">
        <f t="shared" si="8"/>
        <v>0</v>
      </c>
      <c r="AG19" s="38">
        <f t="shared" si="9"/>
        <v>0</v>
      </c>
      <c r="AH19" s="38">
        <f t="shared" si="10"/>
        <v>0</v>
      </c>
      <c r="AI19" s="37"/>
      <c r="AJ19" s="20">
        <f t="shared" si="11"/>
        <v>0</v>
      </c>
      <c r="AK19" s="20">
        <f t="shared" si="12"/>
        <v>0</v>
      </c>
      <c r="AL19" s="20">
        <f t="shared" si="13"/>
        <v>0</v>
      </c>
      <c r="AN19" s="38">
        <v>21</v>
      </c>
      <c r="AO19" s="38">
        <f>I19*0.74468085106383</f>
        <v>0</v>
      </c>
      <c r="AP19" s="38">
        <f>I19*(1-0.74468085106383)</f>
        <v>0</v>
      </c>
      <c r="AQ19" s="39" t="s">
        <v>7</v>
      </c>
      <c r="AV19" s="38">
        <f t="shared" si="14"/>
        <v>0</v>
      </c>
      <c r="AW19" s="38">
        <f t="shared" si="15"/>
        <v>0</v>
      </c>
      <c r="AX19" s="38">
        <f t="shared" si="16"/>
        <v>0</v>
      </c>
      <c r="AY19" s="41" t="s">
        <v>294</v>
      </c>
      <c r="AZ19" s="41" t="s">
        <v>294</v>
      </c>
      <c r="BA19" s="37" t="s">
        <v>320</v>
      </c>
      <c r="BC19" s="38">
        <f t="shared" si="17"/>
        <v>0</v>
      </c>
      <c r="BD19" s="38">
        <f t="shared" si="18"/>
        <v>0</v>
      </c>
      <c r="BE19" s="38">
        <v>0</v>
      </c>
      <c r="BF19" s="38">
        <f>19</f>
        <v>19</v>
      </c>
      <c r="BH19" s="20">
        <f t="shared" si="19"/>
        <v>0</v>
      </c>
      <c r="BI19" s="20">
        <f t="shared" si="20"/>
        <v>0</v>
      </c>
      <c r="BJ19" s="20">
        <f t="shared" si="21"/>
        <v>0</v>
      </c>
      <c r="BK19" s="20" t="s">
        <v>325</v>
      </c>
      <c r="BL19" s="38">
        <v>0</v>
      </c>
    </row>
    <row r="20" spans="1:47" ht="12.75">
      <c r="A20" s="5"/>
      <c r="B20" s="14" t="s">
        <v>33</v>
      </c>
      <c r="C20" s="123" t="s">
        <v>175</v>
      </c>
      <c r="D20" s="124"/>
      <c r="E20" s="124"/>
      <c r="F20" s="124"/>
      <c r="G20" s="18" t="s">
        <v>6</v>
      </c>
      <c r="H20" s="18" t="s">
        <v>6</v>
      </c>
      <c r="I20" s="18" t="s">
        <v>6</v>
      </c>
      <c r="J20" s="44">
        <f>SUM(J21:J25)</f>
        <v>0</v>
      </c>
      <c r="K20" s="44">
        <f>SUM(K21:K25)</f>
        <v>0</v>
      </c>
      <c r="L20" s="44">
        <f>SUM(L21:L25)</f>
        <v>0</v>
      </c>
      <c r="M20" s="32"/>
      <c r="N20" s="35"/>
      <c r="AI20" s="37"/>
      <c r="AS20" s="44">
        <f>SUM(AJ21:AJ25)</f>
        <v>0</v>
      </c>
      <c r="AT20" s="44">
        <f>SUM(AK21:AK25)</f>
        <v>0</v>
      </c>
      <c r="AU20" s="44">
        <f>SUM(AL21:AL25)</f>
        <v>0</v>
      </c>
    </row>
    <row r="21" spans="1:64" ht="27" customHeight="1">
      <c r="A21" s="4" t="s">
        <v>14</v>
      </c>
      <c r="B21" s="13" t="s">
        <v>92</v>
      </c>
      <c r="C21" s="121" t="s">
        <v>176</v>
      </c>
      <c r="D21" s="122"/>
      <c r="E21" s="122"/>
      <c r="F21" s="122"/>
      <c r="G21" s="13" t="s">
        <v>264</v>
      </c>
      <c r="H21" s="20">
        <v>0.126</v>
      </c>
      <c r="I21" s="20">
        <v>0</v>
      </c>
      <c r="J21" s="20">
        <f>H21*AO21</f>
        <v>0</v>
      </c>
      <c r="K21" s="20">
        <f>H21*AP21</f>
        <v>0</v>
      </c>
      <c r="L21" s="20">
        <f>H21*I21</f>
        <v>0</v>
      </c>
      <c r="M21" s="31" t="s">
        <v>284</v>
      </c>
      <c r="N21" s="35"/>
      <c r="Z21" s="38">
        <f>IF(AQ21="5",BJ21,0)</f>
        <v>0</v>
      </c>
      <c r="AB21" s="38">
        <f>IF(AQ21="1",BH21,0)</f>
        <v>0</v>
      </c>
      <c r="AC21" s="38">
        <f>IF(AQ21="1",BI21,0)</f>
        <v>0</v>
      </c>
      <c r="AD21" s="38">
        <f>IF(AQ21="7",BH21,0)</f>
        <v>0</v>
      </c>
      <c r="AE21" s="38">
        <f>IF(AQ21="7",BI21,0)</f>
        <v>0</v>
      </c>
      <c r="AF21" s="38">
        <f>IF(AQ21="2",BH21,0)</f>
        <v>0</v>
      </c>
      <c r="AG21" s="38">
        <f>IF(AQ21="2",BI21,0)</f>
        <v>0</v>
      </c>
      <c r="AH21" s="38">
        <f>IF(AQ21="0",BJ21,0)</f>
        <v>0</v>
      </c>
      <c r="AI21" s="37"/>
      <c r="AJ21" s="20">
        <f>IF(AN21=0,L21,0)</f>
        <v>0</v>
      </c>
      <c r="AK21" s="20">
        <f>IF(AN21=15,L21,0)</f>
        <v>0</v>
      </c>
      <c r="AL21" s="20">
        <f>IF(AN21=21,L21,0)</f>
        <v>0</v>
      </c>
      <c r="AN21" s="38">
        <v>21</v>
      </c>
      <c r="AO21" s="38">
        <f>I21*0.435226141121209</f>
        <v>0</v>
      </c>
      <c r="AP21" s="38">
        <f>I21*(1-0.435226141121209)</f>
        <v>0</v>
      </c>
      <c r="AQ21" s="39" t="s">
        <v>7</v>
      </c>
      <c r="AV21" s="38">
        <f>AW21+AX21</f>
        <v>0</v>
      </c>
      <c r="AW21" s="38">
        <f>H21*AO21</f>
        <v>0</v>
      </c>
      <c r="AX21" s="38">
        <f>H21*AP21</f>
        <v>0</v>
      </c>
      <c r="AY21" s="41" t="s">
        <v>295</v>
      </c>
      <c r="AZ21" s="41" t="s">
        <v>311</v>
      </c>
      <c r="BA21" s="37" t="s">
        <v>320</v>
      </c>
      <c r="BC21" s="38">
        <f>AW21+AX21</f>
        <v>0</v>
      </c>
      <c r="BD21" s="38">
        <f>I21/(100-BE21)*100</f>
        <v>0</v>
      </c>
      <c r="BE21" s="38">
        <v>0</v>
      </c>
      <c r="BF21" s="38">
        <f>21</f>
        <v>21</v>
      </c>
      <c r="BH21" s="20">
        <f>H21*AO21</f>
        <v>0</v>
      </c>
      <c r="BI21" s="20">
        <f>H21*AP21</f>
        <v>0</v>
      </c>
      <c r="BJ21" s="20">
        <f>H21*I21</f>
        <v>0</v>
      </c>
      <c r="BK21" s="20" t="s">
        <v>325</v>
      </c>
      <c r="BL21" s="38">
        <v>27</v>
      </c>
    </row>
    <row r="22" spans="1:64" ht="12.75">
      <c r="A22" s="4" t="s">
        <v>15</v>
      </c>
      <c r="B22" s="13" t="s">
        <v>93</v>
      </c>
      <c r="C22" s="121" t="s">
        <v>177</v>
      </c>
      <c r="D22" s="122"/>
      <c r="E22" s="122"/>
      <c r="F22" s="122"/>
      <c r="G22" s="13" t="s">
        <v>264</v>
      </c>
      <c r="H22" s="20">
        <v>1.836</v>
      </c>
      <c r="I22" s="20">
        <v>0</v>
      </c>
      <c r="J22" s="20">
        <f>H22*AO22</f>
        <v>0</v>
      </c>
      <c r="K22" s="20">
        <f>H22*AP22</f>
        <v>0</v>
      </c>
      <c r="L22" s="20">
        <f>H22*I22</f>
        <v>0</v>
      </c>
      <c r="M22" s="31" t="s">
        <v>284</v>
      </c>
      <c r="N22" s="35"/>
      <c r="Z22" s="38">
        <f>IF(AQ22="5",BJ22,0)</f>
        <v>0</v>
      </c>
      <c r="AB22" s="38">
        <f>IF(AQ22="1",BH22,0)</f>
        <v>0</v>
      </c>
      <c r="AC22" s="38">
        <f>IF(AQ22="1",BI22,0)</f>
        <v>0</v>
      </c>
      <c r="AD22" s="38">
        <f>IF(AQ22="7",BH22,0)</f>
        <v>0</v>
      </c>
      <c r="AE22" s="38">
        <f>IF(AQ22="7",BI22,0)</f>
        <v>0</v>
      </c>
      <c r="AF22" s="38">
        <f>IF(AQ22="2",BH22,0)</f>
        <v>0</v>
      </c>
      <c r="AG22" s="38">
        <f>IF(AQ22="2",BI22,0)</f>
        <v>0</v>
      </c>
      <c r="AH22" s="38">
        <f>IF(AQ22="0",BJ22,0)</f>
        <v>0</v>
      </c>
      <c r="AI22" s="37"/>
      <c r="AJ22" s="20">
        <f>IF(AN22=0,L22,0)</f>
        <v>0</v>
      </c>
      <c r="AK22" s="20">
        <f>IF(AN22=15,L22,0)</f>
        <v>0</v>
      </c>
      <c r="AL22" s="20">
        <f>IF(AN22=21,L22,0)</f>
        <v>0</v>
      </c>
      <c r="AN22" s="38">
        <v>21</v>
      </c>
      <c r="AO22" s="38">
        <f>I22*0</f>
        <v>0</v>
      </c>
      <c r="AP22" s="38">
        <f>I22*(1-0)</f>
        <v>0</v>
      </c>
      <c r="AQ22" s="39" t="s">
        <v>7</v>
      </c>
      <c r="AV22" s="38">
        <f>AW22+AX22</f>
        <v>0</v>
      </c>
      <c r="AW22" s="38">
        <f>H22*AO22</f>
        <v>0</v>
      </c>
      <c r="AX22" s="38">
        <f>H22*AP22</f>
        <v>0</v>
      </c>
      <c r="AY22" s="41" t="s">
        <v>295</v>
      </c>
      <c r="AZ22" s="41" t="s">
        <v>311</v>
      </c>
      <c r="BA22" s="37" t="s">
        <v>320</v>
      </c>
      <c r="BC22" s="38">
        <f>AW22+AX22</f>
        <v>0</v>
      </c>
      <c r="BD22" s="38">
        <f>I22/(100-BE22)*100</f>
        <v>0</v>
      </c>
      <c r="BE22" s="38">
        <v>0</v>
      </c>
      <c r="BF22" s="38">
        <f>22</f>
        <v>22</v>
      </c>
      <c r="BH22" s="20">
        <f>H22*AO22</f>
        <v>0</v>
      </c>
      <c r="BI22" s="20">
        <f>H22*AP22</f>
        <v>0</v>
      </c>
      <c r="BJ22" s="20">
        <f>H22*I22</f>
        <v>0</v>
      </c>
      <c r="BK22" s="20" t="s">
        <v>325</v>
      </c>
      <c r="BL22" s="38">
        <v>27</v>
      </c>
    </row>
    <row r="23" spans="1:64" ht="12.75">
      <c r="A23" s="4" t="s">
        <v>16</v>
      </c>
      <c r="B23" s="13" t="s">
        <v>94</v>
      </c>
      <c r="C23" s="121" t="s">
        <v>178</v>
      </c>
      <c r="D23" s="122"/>
      <c r="E23" s="122"/>
      <c r="F23" s="122"/>
      <c r="G23" s="13" t="s">
        <v>264</v>
      </c>
      <c r="H23" s="20">
        <v>1.71</v>
      </c>
      <c r="I23" s="20">
        <v>0</v>
      </c>
      <c r="J23" s="20">
        <f>H23*AO23</f>
        <v>0</v>
      </c>
      <c r="K23" s="20">
        <f>H23*AP23</f>
        <v>0</v>
      </c>
      <c r="L23" s="20">
        <f>H23*I23</f>
        <v>0</v>
      </c>
      <c r="M23" s="31" t="s">
        <v>284</v>
      </c>
      <c r="N23" s="35"/>
      <c r="Z23" s="38">
        <f>IF(AQ23="5",BJ23,0)</f>
        <v>0</v>
      </c>
      <c r="AB23" s="38">
        <f>IF(AQ23="1",BH23,0)</f>
        <v>0</v>
      </c>
      <c r="AC23" s="38">
        <f>IF(AQ23="1",BI23,0)</f>
        <v>0</v>
      </c>
      <c r="AD23" s="38">
        <f>IF(AQ23="7",BH23,0)</f>
        <v>0</v>
      </c>
      <c r="AE23" s="38">
        <f>IF(AQ23="7",BI23,0)</f>
        <v>0</v>
      </c>
      <c r="AF23" s="38">
        <f>IF(AQ23="2",BH23,0)</f>
        <v>0</v>
      </c>
      <c r="AG23" s="38">
        <f>IF(AQ23="2",BI23,0)</f>
        <v>0</v>
      </c>
      <c r="AH23" s="38">
        <f>IF(AQ23="0",BJ23,0)</f>
        <v>0</v>
      </c>
      <c r="AI23" s="37"/>
      <c r="AJ23" s="20">
        <f>IF(AN23=0,L23,0)</f>
        <v>0</v>
      </c>
      <c r="AK23" s="20">
        <f>IF(AN23=15,L23,0)</f>
        <v>0</v>
      </c>
      <c r="AL23" s="20">
        <f>IF(AN23=21,L23,0)</f>
        <v>0</v>
      </c>
      <c r="AN23" s="38">
        <v>21</v>
      </c>
      <c r="AO23" s="38">
        <f>I23*0</f>
        <v>0</v>
      </c>
      <c r="AP23" s="38">
        <f>I23*(1-0)</f>
        <v>0</v>
      </c>
      <c r="AQ23" s="39" t="s">
        <v>7</v>
      </c>
      <c r="AV23" s="38">
        <f>AW23+AX23</f>
        <v>0</v>
      </c>
      <c r="AW23" s="38">
        <f>H23*AO23</f>
        <v>0</v>
      </c>
      <c r="AX23" s="38">
        <f>H23*AP23</f>
        <v>0</v>
      </c>
      <c r="AY23" s="41" t="s">
        <v>295</v>
      </c>
      <c r="AZ23" s="41" t="s">
        <v>311</v>
      </c>
      <c r="BA23" s="37" t="s">
        <v>320</v>
      </c>
      <c r="BC23" s="38">
        <f>AW23+AX23</f>
        <v>0</v>
      </c>
      <c r="BD23" s="38">
        <f>I23/(100-BE23)*100</f>
        <v>0</v>
      </c>
      <c r="BE23" s="38">
        <v>0</v>
      </c>
      <c r="BF23" s="38">
        <f>23</f>
        <v>23</v>
      </c>
      <c r="BH23" s="20">
        <f>H23*AO23</f>
        <v>0</v>
      </c>
      <c r="BI23" s="20">
        <f>H23*AP23</f>
        <v>0</v>
      </c>
      <c r="BJ23" s="20">
        <f>H23*I23</f>
        <v>0</v>
      </c>
      <c r="BK23" s="20" t="s">
        <v>325</v>
      </c>
      <c r="BL23" s="38">
        <v>27</v>
      </c>
    </row>
    <row r="24" spans="1:64" ht="12.75">
      <c r="A24" s="4" t="s">
        <v>17</v>
      </c>
      <c r="B24" s="13" t="s">
        <v>95</v>
      </c>
      <c r="C24" s="121" t="s">
        <v>179</v>
      </c>
      <c r="D24" s="122"/>
      <c r="E24" s="122"/>
      <c r="F24" s="122"/>
      <c r="G24" s="13" t="s">
        <v>262</v>
      </c>
      <c r="H24" s="20">
        <v>1</v>
      </c>
      <c r="I24" s="20">
        <v>0</v>
      </c>
      <c r="J24" s="20">
        <f>H24*AO24</f>
        <v>0</v>
      </c>
      <c r="K24" s="20">
        <f>H24*AP24</f>
        <v>0</v>
      </c>
      <c r="L24" s="20">
        <f>H24*I24</f>
        <v>0</v>
      </c>
      <c r="M24" s="31"/>
      <c r="N24" s="35"/>
      <c r="Z24" s="38">
        <f>IF(AQ24="5",BJ24,0)</f>
        <v>0</v>
      </c>
      <c r="AB24" s="38">
        <f>IF(AQ24="1",BH24,0)</f>
        <v>0</v>
      </c>
      <c r="AC24" s="38">
        <f>IF(AQ24="1",BI24,0)</f>
        <v>0</v>
      </c>
      <c r="AD24" s="38">
        <f>IF(AQ24="7",BH24,0)</f>
        <v>0</v>
      </c>
      <c r="AE24" s="38">
        <f>IF(AQ24="7",BI24,0)</f>
        <v>0</v>
      </c>
      <c r="AF24" s="38">
        <f>IF(AQ24="2",BH24,0)</f>
        <v>0</v>
      </c>
      <c r="AG24" s="38">
        <f>IF(AQ24="2",BI24,0)</f>
        <v>0</v>
      </c>
      <c r="AH24" s="38">
        <f>IF(AQ24="0",BJ24,0)</f>
        <v>0</v>
      </c>
      <c r="AI24" s="37"/>
      <c r="AJ24" s="20">
        <f>IF(AN24=0,L24,0)</f>
        <v>0</v>
      </c>
      <c r="AK24" s="20">
        <f>IF(AN24=15,L24,0)</f>
        <v>0</v>
      </c>
      <c r="AL24" s="20">
        <f>IF(AN24=21,L24,0)</f>
        <v>0</v>
      </c>
      <c r="AN24" s="38">
        <v>21</v>
      </c>
      <c r="AO24" s="38">
        <f>I24*0.75</f>
        <v>0</v>
      </c>
      <c r="AP24" s="38">
        <f>I24*(1-0.75)</f>
        <v>0</v>
      </c>
      <c r="AQ24" s="39" t="s">
        <v>7</v>
      </c>
      <c r="AV24" s="38">
        <f>AW24+AX24</f>
        <v>0</v>
      </c>
      <c r="AW24" s="38">
        <f>H24*AO24</f>
        <v>0</v>
      </c>
      <c r="AX24" s="38">
        <f>H24*AP24</f>
        <v>0</v>
      </c>
      <c r="AY24" s="41" t="s">
        <v>295</v>
      </c>
      <c r="AZ24" s="41" t="s">
        <v>311</v>
      </c>
      <c r="BA24" s="37" t="s">
        <v>320</v>
      </c>
      <c r="BC24" s="38">
        <f>AW24+AX24</f>
        <v>0</v>
      </c>
      <c r="BD24" s="38">
        <f>I24/(100-BE24)*100</f>
        <v>0</v>
      </c>
      <c r="BE24" s="38">
        <v>0</v>
      </c>
      <c r="BF24" s="38">
        <f>24</f>
        <v>24</v>
      </c>
      <c r="BH24" s="20">
        <f>H24*AO24</f>
        <v>0</v>
      </c>
      <c r="BI24" s="20">
        <f>H24*AP24</f>
        <v>0</v>
      </c>
      <c r="BJ24" s="20">
        <f>H24*I24</f>
        <v>0</v>
      </c>
      <c r="BK24" s="20" t="s">
        <v>325</v>
      </c>
      <c r="BL24" s="38">
        <v>27</v>
      </c>
    </row>
    <row r="25" spans="1:64" ht="12.75">
      <c r="A25" s="4" t="s">
        <v>18</v>
      </c>
      <c r="B25" s="13" t="s">
        <v>96</v>
      </c>
      <c r="C25" s="121" t="s">
        <v>180</v>
      </c>
      <c r="D25" s="122"/>
      <c r="E25" s="122"/>
      <c r="F25" s="122"/>
      <c r="G25" s="13" t="s">
        <v>262</v>
      </c>
      <c r="H25" s="20">
        <v>1</v>
      </c>
      <c r="I25" s="20">
        <v>0</v>
      </c>
      <c r="J25" s="20">
        <f>H25*AO25</f>
        <v>0</v>
      </c>
      <c r="K25" s="20">
        <f>H25*AP25</f>
        <v>0</v>
      </c>
      <c r="L25" s="20">
        <f>H25*I25</f>
        <v>0</v>
      </c>
      <c r="M25" s="31"/>
      <c r="N25" s="35"/>
      <c r="Z25" s="38">
        <f>IF(AQ25="5",BJ25,0)</f>
        <v>0</v>
      </c>
      <c r="AB25" s="38">
        <f>IF(AQ25="1",BH25,0)</f>
        <v>0</v>
      </c>
      <c r="AC25" s="38">
        <f>IF(AQ25="1",BI25,0)</f>
        <v>0</v>
      </c>
      <c r="AD25" s="38">
        <f>IF(AQ25="7",BH25,0)</f>
        <v>0</v>
      </c>
      <c r="AE25" s="38">
        <f>IF(AQ25="7",BI25,0)</f>
        <v>0</v>
      </c>
      <c r="AF25" s="38">
        <f>IF(AQ25="2",BH25,0)</f>
        <v>0</v>
      </c>
      <c r="AG25" s="38">
        <f>IF(AQ25="2",BI25,0)</f>
        <v>0</v>
      </c>
      <c r="AH25" s="38">
        <f>IF(AQ25="0",BJ25,0)</f>
        <v>0</v>
      </c>
      <c r="AI25" s="37"/>
      <c r="AJ25" s="20">
        <f>IF(AN25=0,L25,0)</f>
        <v>0</v>
      </c>
      <c r="AK25" s="20">
        <f>IF(AN25=15,L25,0)</f>
        <v>0</v>
      </c>
      <c r="AL25" s="20">
        <f>IF(AN25=21,L25,0)</f>
        <v>0</v>
      </c>
      <c r="AN25" s="38">
        <v>21</v>
      </c>
      <c r="AO25" s="38">
        <f>I25*0.75</f>
        <v>0</v>
      </c>
      <c r="AP25" s="38">
        <f>I25*(1-0.75)</f>
        <v>0</v>
      </c>
      <c r="AQ25" s="39" t="s">
        <v>7</v>
      </c>
      <c r="AV25" s="38">
        <f>AW25+AX25</f>
        <v>0</v>
      </c>
      <c r="AW25" s="38">
        <f>H25*AO25</f>
        <v>0</v>
      </c>
      <c r="AX25" s="38">
        <f>H25*AP25</f>
        <v>0</v>
      </c>
      <c r="AY25" s="41" t="s">
        <v>295</v>
      </c>
      <c r="AZ25" s="41" t="s">
        <v>311</v>
      </c>
      <c r="BA25" s="37" t="s">
        <v>320</v>
      </c>
      <c r="BC25" s="38">
        <f>AW25+AX25</f>
        <v>0</v>
      </c>
      <c r="BD25" s="38">
        <f>I25/(100-BE25)*100</f>
        <v>0</v>
      </c>
      <c r="BE25" s="38">
        <v>0</v>
      </c>
      <c r="BF25" s="38">
        <f>25</f>
        <v>25</v>
      </c>
      <c r="BH25" s="20">
        <f>H25*AO25</f>
        <v>0</v>
      </c>
      <c r="BI25" s="20">
        <f>H25*AP25</f>
        <v>0</v>
      </c>
      <c r="BJ25" s="20">
        <f>H25*I25</f>
        <v>0</v>
      </c>
      <c r="BK25" s="20" t="s">
        <v>325</v>
      </c>
      <c r="BL25" s="38">
        <v>27</v>
      </c>
    </row>
    <row r="26" spans="1:47" ht="12.75">
      <c r="A26" s="5"/>
      <c r="B26" s="14" t="s">
        <v>37</v>
      </c>
      <c r="C26" s="123" t="s">
        <v>181</v>
      </c>
      <c r="D26" s="124"/>
      <c r="E26" s="124"/>
      <c r="F26" s="124"/>
      <c r="G26" s="18" t="s">
        <v>6</v>
      </c>
      <c r="H26" s="18" t="s">
        <v>6</v>
      </c>
      <c r="I26" s="18" t="s">
        <v>6</v>
      </c>
      <c r="J26" s="44">
        <f>SUM(J27:J32)</f>
        <v>0</v>
      </c>
      <c r="K26" s="44">
        <f>SUM(K27:K32)</f>
        <v>0</v>
      </c>
      <c r="L26" s="44">
        <f>SUM(L27:L32)</f>
        <v>0</v>
      </c>
      <c r="M26" s="32"/>
      <c r="N26" s="35"/>
      <c r="AI26" s="37"/>
      <c r="AS26" s="44">
        <f>SUM(AJ27:AJ32)</f>
        <v>0</v>
      </c>
      <c r="AT26" s="44">
        <f>SUM(AK27:AK32)</f>
        <v>0</v>
      </c>
      <c r="AU26" s="44">
        <f>SUM(AL27:AL32)</f>
        <v>0</v>
      </c>
    </row>
    <row r="27" spans="1:64" ht="12.75">
      <c r="A27" s="4" t="s">
        <v>19</v>
      </c>
      <c r="B27" s="13" t="s">
        <v>97</v>
      </c>
      <c r="C27" s="121" t="s">
        <v>182</v>
      </c>
      <c r="D27" s="122"/>
      <c r="E27" s="122"/>
      <c r="F27" s="122"/>
      <c r="G27" s="13" t="s">
        <v>265</v>
      </c>
      <c r="H27" s="20">
        <v>3.905</v>
      </c>
      <c r="I27" s="20">
        <v>0</v>
      </c>
      <c r="J27" s="20">
        <f aca="true" t="shared" si="22" ref="J27:J32">H27*AO27</f>
        <v>0</v>
      </c>
      <c r="K27" s="20">
        <f aca="true" t="shared" si="23" ref="K27:K32">H27*AP27</f>
        <v>0</v>
      </c>
      <c r="L27" s="20">
        <f aca="true" t="shared" si="24" ref="L27:L32">H27*I27</f>
        <v>0</v>
      </c>
      <c r="M27" s="31" t="s">
        <v>284</v>
      </c>
      <c r="N27" s="35"/>
      <c r="Z27" s="38">
        <f aca="true" t="shared" si="25" ref="Z27:Z32">IF(AQ27="5",BJ27,0)</f>
        <v>0</v>
      </c>
      <c r="AB27" s="38">
        <f aca="true" t="shared" si="26" ref="AB27:AB32">IF(AQ27="1",BH27,0)</f>
        <v>0</v>
      </c>
      <c r="AC27" s="38">
        <f aca="true" t="shared" si="27" ref="AC27:AC32">IF(AQ27="1",BI27,0)</f>
        <v>0</v>
      </c>
      <c r="AD27" s="38">
        <f aca="true" t="shared" si="28" ref="AD27:AD32">IF(AQ27="7",BH27,0)</f>
        <v>0</v>
      </c>
      <c r="AE27" s="38">
        <f aca="true" t="shared" si="29" ref="AE27:AE32">IF(AQ27="7",BI27,0)</f>
        <v>0</v>
      </c>
      <c r="AF27" s="38">
        <f aca="true" t="shared" si="30" ref="AF27:AF32">IF(AQ27="2",BH27,0)</f>
        <v>0</v>
      </c>
      <c r="AG27" s="38">
        <f aca="true" t="shared" si="31" ref="AG27:AG32">IF(AQ27="2",BI27,0)</f>
        <v>0</v>
      </c>
      <c r="AH27" s="38">
        <f aca="true" t="shared" si="32" ref="AH27:AH32">IF(AQ27="0",BJ27,0)</f>
        <v>0</v>
      </c>
      <c r="AI27" s="37"/>
      <c r="AJ27" s="20">
        <f aca="true" t="shared" si="33" ref="AJ27:AJ32">IF(AN27=0,L27,0)</f>
        <v>0</v>
      </c>
      <c r="AK27" s="20">
        <f aca="true" t="shared" si="34" ref="AK27:AK32">IF(AN27=15,L27,0)</f>
        <v>0</v>
      </c>
      <c r="AL27" s="20">
        <f aca="true" t="shared" si="35" ref="AL27:AL32">IF(AN27=21,L27,0)</f>
        <v>0</v>
      </c>
      <c r="AN27" s="38">
        <v>21</v>
      </c>
      <c r="AO27" s="38">
        <f>I27*0.64917107664855</f>
        <v>0</v>
      </c>
      <c r="AP27" s="38">
        <f>I27*(1-0.64917107664855)</f>
        <v>0</v>
      </c>
      <c r="AQ27" s="39" t="s">
        <v>7</v>
      </c>
      <c r="AV27" s="38">
        <f aca="true" t="shared" si="36" ref="AV27:AV32">AW27+AX27</f>
        <v>0</v>
      </c>
      <c r="AW27" s="38">
        <f aca="true" t="shared" si="37" ref="AW27:AW32">H27*AO27</f>
        <v>0</v>
      </c>
      <c r="AX27" s="38">
        <f aca="true" t="shared" si="38" ref="AX27:AX32">H27*AP27</f>
        <v>0</v>
      </c>
      <c r="AY27" s="41" t="s">
        <v>296</v>
      </c>
      <c r="AZ27" s="41" t="s">
        <v>312</v>
      </c>
      <c r="BA27" s="37" t="s">
        <v>320</v>
      </c>
      <c r="BC27" s="38">
        <f aca="true" t="shared" si="39" ref="BC27:BC32">AW27+AX27</f>
        <v>0</v>
      </c>
      <c r="BD27" s="38">
        <f aca="true" t="shared" si="40" ref="BD27:BD32">I27/(100-BE27)*100</f>
        <v>0</v>
      </c>
      <c r="BE27" s="38">
        <v>0</v>
      </c>
      <c r="BF27" s="38">
        <f>27</f>
        <v>27</v>
      </c>
      <c r="BH27" s="20">
        <f aca="true" t="shared" si="41" ref="BH27:BH32">H27*AO27</f>
        <v>0</v>
      </c>
      <c r="BI27" s="20">
        <f aca="true" t="shared" si="42" ref="BI27:BI32">H27*AP27</f>
        <v>0</v>
      </c>
      <c r="BJ27" s="20">
        <f aca="true" t="shared" si="43" ref="BJ27:BJ32">H27*I27</f>
        <v>0</v>
      </c>
      <c r="BK27" s="20" t="s">
        <v>325</v>
      </c>
      <c r="BL27" s="38">
        <v>31</v>
      </c>
    </row>
    <row r="28" spans="1:64" ht="12.75">
      <c r="A28" s="4" t="s">
        <v>20</v>
      </c>
      <c r="B28" s="13" t="s">
        <v>98</v>
      </c>
      <c r="C28" s="121" t="s">
        <v>183</v>
      </c>
      <c r="D28" s="122"/>
      <c r="E28" s="122"/>
      <c r="F28" s="122"/>
      <c r="G28" s="13" t="s">
        <v>266</v>
      </c>
      <c r="H28" s="20">
        <v>4</v>
      </c>
      <c r="I28" s="20">
        <v>0</v>
      </c>
      <c r="J28" s="20">
        <f t="shared" si="22"/>
        <v>0</v>
      </c>
      <c r="K28" s="20">
        <f t="shared" si="23"/>
        <v>0</v>
      </c>
      <c r="L28" s="20">
        <f t="shared" si="24"/>
        <v>0</v>
      </c>
      <c r="M28" s="31" t="s">
        <v>284</v>
      </c>
      <c r="N28" s="35"/>
      <c r="Z28" s="38">
        <f t="shared" si="25"/>
        <v>0</v>
      </c>
      <c r="AB28" s="38">
        <f t="shared" si="26"/>
        <v>0</v>
      </c>
      <c r="AC28" s="38">
        <f t="shared" si="27"/>
        <v>0</v>
      </c>
      <c r="AD28" s="38">
        <f t="shared" si="28"/>
        <v>0</v>
      </c>
      <c r="AE28" s="38">
        <f t="shared" si="29"/>
        <v>0</v>
      </c>
      <c r="AF28" s="38">
        <f t="shared" si="30"/>
        <v>0</v>
      </c>
      <c r="AG28" s="38">
        <f t="shared" si="31"/>
        <v>0</v>
      </c>
      <c r="AH28" s="38">
        <f t="shared" si="32"/>
        <v>0</v>
      </c>
      <c r="AI28" s="37"/>
      <c r="AJ28" s="20">
        <f t="shared" si="33"/>
        <v>0</v>
      </c>
      <c r="AK28" s="20">
        <f t="shared" si="34"/>
        <v>0</v>
      </c>
      <c r="AL28" s="20">
        <f t="shared" si="35"/>
        <v>0</v>
      </c>
      <c r="AN28" s="38">
        <v>21</v>
      </c>
      <c r="AO28" s="38">
        <f>I28*0.0549866666666667</f>
        <v>0</v>
      </c>
      <c r="AP28" s="38">
        <f>I28*(1-0.0549866666666667)</f>
        <v>0</v>
      </c>
      <c r="AQ28" s="39" t="s">
        <v>7</v>
      </c>
      <c r="AV28" s="38">
        <f t="shared" si="36"/>
        <v>0</v>
      </c>
      <c r="AW28" s="38">
        <f t="shared" si="37"/>
        <v>0</v>
      </c>
      <c r="AX28" s="38">
        <f t="shared" si="38"/>
        <v>0</v>
      </c>
      <c r="AY28" s="41" t="s">
        <v>296</v>
      </c>
      <c r="AZ28" s="41" t="s">
        <v>312</v>
      </c>
      <c r="BA28" s="37" t="s">
        <v>320</v>
      </c>
      <c r="BC28" s="38">
        <f t="shared" si="39"/>
        <v>0</v>
      </c>
      <c r="BD28" s="38">
        <f t="shared" si="40"/>
        <v>0</v>
      </c>
      <c r="BE28" s="38">
        <v>0</v>
      </c>
      <c r="BF28" s="38">
        <f>28</f>
        <v>28</v>
      </c>
      <c r="BH28" s="20">
        <f t="shared" si="41"/>
        <v>0</v>
      </c>
      <c r="BI28" s="20">
        <f t="shared" si="42"/>
        <v>0</v>
      </c>
      <c r="BJ28" s="20">
        <f t="shared" si="43"/>
        <v>0</v>
      </c>
      <c r="BK28" s="20" t="s">
        <v>325</v>
      </c>
      <c r="BL28" s="38">
        <v>31</v>
      </c>
    </row>
    <row r="29" spans="1:64" ht="12.75">
      <c r="A29" s="6" t="s">
        <v>21</v>
      </c>
      <c r="B29" s="15" t="s">
        <v>99</v>
      </c>
      <c r="C29" s="125" t="s">
        <v>184</v>
      </c>
      <c r="D29" s="126"/>
      <c r="E29" s="126"/>
      <c r="F29" s="126"/>
      <c r="G29" s="15" t="s">
        <v>266</v>
      </c>
      <c r="H29" s="21">
        <v>4</v>
      </c>
      <c r="I29" s="21">
        <v>0</v>
      </c>
      <c r="J29" s="21">
        <f t="shared" si="22"/>
        <v>0</v>
      </c>
      <c r="K29" s="21">
        <f t="shared" si="23"/>
        <v>0</v>
      </c>
      <c r="L29" s="21">
        <f t="shared" si="24"/>
        <v>0</v>
      </c>
      <c r="M29" s="33" t="s">
        <v>284</v>
      </c>
      <c r="N29" s="35"/>
      <c r="Z29" s="38">
        <f t="shared" si="25"/>
        <v>0</v>
      </c>
      <c r="AB29" s="38">
        <f t="shared" si="26"/>
        <v>0</v>
      </c>
      <c r="AC29" s="38">
        <f t="shared" si="27"/>
        <v>0</v>
      </c>
      <c r="AD29" s="38">
        <f t="shared" si="28"/>
        <v>0</v>
      </c>
      <c r="AE29" s="38">
        <f t="shared" si="29"/>
        <v>0</v>
      </c>
      <c r="AF29" s="38">
        <f t="shared" si="30"/>
        <v>0</v>
      </c>
      <c r="AG29" s="38">
        <f t="shared" si="31"/>
        <v>0</v>
      </c>
      <c r="AH29" s="38">
        <f t="shared" si="32"/>
        <v>0</v>
      </c>
      <c r="AI29" s="37"/>
      <c r="AJ29" s="21">
        <f t="shared" si="33"/>
        <v>0</v>
      </c>
      <c r="AK29" s="21">
        <f t="shared" si="34"/>
        <v>0</v>
      </c>
      <c r="AL29" s="21">
        <f t="shared" si="35"/>
        <v>0</v>
      </c>
      <c r="AN29" s="38">
        <v>21</v>
      </c>
      <c r="AO29" s="38">
        <f>I29*1</f>
        <v>0</v>
      </c>
      <c r="AP29" s="38">
        <f>I29*(1-1)</f>
        <v>0</v>
      </c>
      <c r="AQ29" s="40" t="s">
        <v>7</v>
      </c>
      <c r="AV29" s="38">
        <f t="shared" si="36"/>
        <v>0</v>
      </c>
      <c r="AW29" s="38">
        <f t="shared" si="37"/>
        <v>0</v>
      </c>
      <c r="AX29" s="38">
        <f t="shared" si="38"/>
        <v>0</v>
      </c>
      <c r="AY29" s="41" t="s">
        <v>296</v>
      </c>
      <c r="AZ29" s="41" t="s">
        <v>312</v>
      </c>
      <c r="BA29" s="37" t="s">
        <v>320</v>
      </c>
      <c r="BC29" s="38">
        <f t="shared" si="39"/>
        <v>0</v>
      </c>
      <c r="BD29" s="38">
        <f t="shared" si="40"/>
        <v>0</v>
      </c>
      <c r="BE29" s="38">
        <v>0</v>
      </c>
      <c r="BF29" s="38">
        <f>29</f>
        <v>29</v>
      </c>
      <c r="BH29" s="21">
        <f t="shared" si="41"/>
        <v>0</v>
      </c>
      <c r="BI29" s="21">
        <f t="shared" si="42"/>
        <v>0</v>
      </c>
      <c r="BJ29" s="21">
        <f t="shared" si="43"/>
        <v>0</v>
      </c>
      <c r="BK29" s="21" t="s">
        <v>326</v>
      </c>
      <c r="BL29" s="38">
        <v>31</v>
      </c>
    </row>
    <row r="30" spans="1:64" ht="12.75">
      <c r="A30" s="4" t="s">
        <v>22</v>
      </c>
      <c r="B30" s="13" t="s">
        <v>100</v>
      </c>
      <c r="C30" s="121" t="s">
        <v>185</v>
      </c>
      <c r="D30" s="122"/>
      <c r="E30" s="122"/>
      <c r="F30" s="122"/>
      <c r="G30" s="13" t="s">
        <v>265</v>
      </c>
      <c r="H30" s="20">
        <v>7.81</v>
      </c>
      <c r="I30" s="20">
        <v>0</v>
      </c>
      <c r="J30" s="20">
        <f t="shared" si="22"/>
        <v>0</v>
      </c>
      <c r="K30" s="20">
        <f t="shared" si="23"/>
        <v>0</v>
      </c>
      <c r="L30" s="20">
        <f t="shared" si="24"/>
        <v>0</v>
      </c>
      <c r="M30" s="31" t="s">
        <v>284</v>
      </c>
      <c r="N30" s="35"/>
      <c r="Z30" s="38">
        <f t="shared" si="25"/>
        <v>0</v>
      </c>
      <c r="AB30" s="38">
        <f t="shared" si="26"/>
        <v>0</v>
      </c>
      <c r="AC30" s="38">
        <f t="shared" si="27"/>
        <v>0</v>
      </c>
      <c r="AD30" s="38">
        <f t="shared" si="28"/>
        <v>0</v>
      </c>
      <c r="AE30" s="38">
        <f t="shared" si="29"/>
        <v>0</v>
      </c>
      <c r="AF30" s="38">
        <f t="shared" si="30"/>
        <v>0</v>
      </c>
      <c r="AG30" s="38">
        <f t="shared" si="31"/>
        <v>0</v>
      </c>
      <c r="AH30" s="38">
        <f t="shared" si="32"/>
        <v>0</v>
      </c>
      <c r="AI30" s="37"/>
      <c r="AJ30" s="20">
        <f t="shared" si="33"/>
        <v>0</v>
      </c>
      <c r="AK30" s="20">
        <f t="shared" si="34"/>
        <v>0</v>
      </c>
      <c r="AL30" s="20">
        <f t="shared" si="35"/>
        <v>0</v>
      </c>
      <c r="AN30" s="38">
        <v>21</v>
      </c>
      <c r="AO30" s="38">
        <f>I30*0.51205619786331</f>
        <v>0</v>
      </c>
      <c r="AP30" s="38">
        <f>I30*(1-0.51205619786331)</f>
        <v>0</v>
      </c>
      <c r="AQ30" s="39" t="s">
        <v>7</v>
      </c>
      <c r="AV30" s="38">
        <f t="shared" si="36"/>
        <v>0</v>
      </c>
      <c r="AW30" s="38">
        <f t="shared" si="37"/>
        <v>0</v>
      </c>
      <c r="AX30" s="38">
        <f t="shared" si="38"/>
        <v>0</v>
      </c>
      <c r="AY30" s="41" t="s">
        <v>296</v>
      </c>
      <c r="AZ30" s="41" t="s">
        <v>312</v>
      </c>
      <c r="BA30" s="37" t="s">
        <v>320</v>
      </c>
      <c r="BC30" s="38">
        <f t="shared" si="39"/>
        <v>0</v>
      </c>
      <c r="BD30" s="38">
        <f t="shared" si="40"/>
        <v>0</v>
      </c>
      <c r="BE30" s="38">
        <v>0</v>
      </c>
      <c r="BF30" s="38">
        <f>30</f>
        <v>30</v>
      </c>
      <c r="BH30" s="20">
        <f t="shared" si="41"/>
        <v>0</v>
      </c>
      <c r="BI30" s="20">
        <f t="shared" si="42"/>
        <v>0</v>
      </c>
      <c r="BJ30" s="20">
        <f t="shared" si="43"/>
        <v>0</v>
      </c>
      <c r="BK30" s="20" t="s">
        <v>325</v>
      </c>
      <c r="BL30" s="38">
        <v>31</v>
      </c>
    </row>
    <row r="31" spans="1:64" ht="12.75">
      <c r="A31" s="4" t="s">
        <v>23</v>
      </c>
      <c r="B31" s="13" t="s">
        <v>101</v>
      </c>
      <c r="C31" s="121" t="s">
        <v>186</v>
      </c>
      <c r="D31" s="122"/>
      <c r="E31" s="122"/>
      <c r="F31" s="122"/>
      <c r="G31" s="13" t="s">
        <v>265</v>
      </c>
      <c r="H31" s="20">
        <v>7.81</v>
      </c>
      <c r="I31" s="20">
        <v>0</v>
      </c>
      <c r="J31" s="20">
        <f t="shared" si="22"/>
        <v>0</v>
      </c>
      <c r="K31" s="20">
        <f t="shared" si="23"/>
        <v>0</v>
      </c>
      <c r="L31" s="20">
        <f t="shared" si="24"/>
        <v>0</v>
      </c>
      <c r="M31" s="31" t="s">
        <v>284</v>
      </c>
      <c r="N31" s="35"/>
      <c r="Z31" s="38">
        <f t="shared" si="25"/>
        <v>0</v>
      </c>
      <c r="AB31" s="38">
        <f t="shared" si="26"/>
        <v>0</v>
      </c>
      <c r="AC31" s="38">
        <f t="shared" si="27"/>
        <v>0</v>
      </c>
      <c r="AD31" s="38">
        <f t="shared" si="28"/>
        <v>0</v>
      </c>
      <c r="AE31" s="38">
        <f t="shared" si="29"/>
        <v>0</v>
      </c>
      <c r="AF31" s="38">
        <f t="shared" si="30"/>
        <v>0</v>
      </c>
      <c r="AG31" s="38">
        <f t="shared" si="31"/>
        <v>0</v>
      </c>
      <c r="AH31" s="38">
        <f t="shared" si="32"/>
        <v>0</v>
      </c>
      <c r="AI31" s="37"/>
      <c r="AJ31" s="20">
        <f t="shared" si="33"/>
        <v>0</v>
      </c>
      <c r="AK31" s="20">
        <f t="shared" si="34"/>
        <v>0</v>
      </c>
      <c r="AL31" s="20">
        <f t="shared" si="35"/>
        <v>0</v>
      </c>
      <c r="AN31" s="38">
        <v>21</v>
      </c>
      <c r="AO31" s="38">
        <f>I31*0.225585284280936</f>
        <v>0</v>
      </c>
      <c r="AP31" s="38">
        <f>I31*(1-0.225585284280936)</f>
        <v>0</v>
      </c>
      <c r="AQ31" s="39" t="s">
        <v>7</v>
      </c>
      <c r="AV31" s="38">
        <f t="shared" si="36"/>
        <v>0</v>
      </c>
      <c r="AW31" s="38">
        <f t="shared" si="37"/>
        <v>0</v>
      </c>
      <c r="AX31" s="38">
        <f t="shared" si="38"/>
        <v>0</v>
      </c>
      <c r="AY31" s="41" t="s">
        <v>296</v>
      </c>
      <c r="AZ31" s="41" t="s">
        <v>312</v>
      </c>
      <c r="BA31" s="37" t="s">
        <v>320</v>
      </c>
      <c r="BC31" s="38">
        <f t="shared" si="39"/>
        <v>0</v>
      </c>
      <c r="BD31" s="38">
        <f t="shared" si="40"/>
        <v>0</v>
      </c>
      <c r="BE31" s="38">
        <v>0</v>
      </c>
      <c r="BF31" s="38">
        <f>31</f>
        <v>31</v>
      </c>
      <c r="BH31" s="20">
        <f t="shared" si="41"/>
        <v>0</v>
      </c>
      <c r="BI31" s="20">
        <f t="shared" si="42"/>
        <v>0</v>
      </c>
      <c r="BJ31" s="20">
        <f t="shared" si="43"/>
        <v>0</v>
      </c>
      <c r="BK31" s="20" t="s">
        <v>325</v>
      </c>
      <c r="BL31" s="38">
        <v>31</v>
      </c>
    </row>
    <row r="32" spans="1:64" ht="12.75">
      <c r="A32" s="4" t="s">
        <v>24</v>
      </c>
      <c r="B32" s="13" t="s">
        <v>102</v>
      </c>
      <c r="C32" s="121" t="s">
        <v>187</v>
      </c>
      <c r="D32" s="122"/>
      <c r="E32" s="122"/>
      <c r="F32" s="122"/>
      <c r="G32" s="13" t="s">
        <v>265</v>
      </c>
      <c r="H32" s="20">
        <v>7.81</v>
      </c>
      <c r="I32" s="20">
        <v>0</v>
      </c>
      <c r="J32" s="20">
        <f t="shared" si="22"/>
        <v>0</v>
      </c>
      <c r="K32" s="20">
        <f t="shared" si="23"/>
        <v>0</v>
      </c>
      <c r="L32" s="20">
        <f t="shared" si="24"/>
        <v>0</v>
      </c>
      <c r="M32" s="31" t="s">
        <v>284</v>
      </c>
      <c r="N32" s="35"/>
      <c r="Z32" s="38">
        <f t="shared" si="25"/>
        <v>0</v>
      </c>
      <c r="AB32" s="38">
        <f t="shared" si="26"/>
        <v>0</v>
      </c>
      <c r="AC32" s="38">
        <f t="shared" si="27"/>
        <v>0</v>
      </c>
      <c r="AD32" s="38">
        <f t="shared" si="28"/>
        <v>0</v>
      </c>
      <c r="AE32" s="38">
        <f t="shared" si="29"/>
        <v>0</v>
      </c>
      <c r="AF32" s="38">
        <f t="shared" si="30"/>
        <v>0</v>
      </c>
      <c r="AG32" s="38">
        <f t="shared" si="31"/>
        <v>0</v>
      </c>
      <c r="AH32" s="38">
        <f t="shared" si="32"/>
        <v>0</v>
      </c>
      <c r="AI32" s="37"/>
      <c r="AJ32" s="20">
        <f t="shared" si="33"/>
        <v>0</v>
      </c>
      <c r="AK32" s="20">
        <f t="shared" si="34"/>
        <v>0</v>
      </c>
      <c r="AL32" s="20">
        <f t="shared" si="35"/>
        <v>0</v>
      </c>
      <c r="AN32" s="38">
        <v>21</v>
      </c>
      <c r="AO32" s="38">
        <f>I32*0.25069851879358</f>
        <v>0</v>
      </c>
      <c r="AP32" s="38">
        <f>I32*(1-0.25069851879358)</f>
        <v>0</v>
      </c>
      <c r="AQ32" s="39" t="s">
        <v>7</v>
      </c>
      <c r="AV32" s="38">
        <f t="shared" si="36"/>
        <v>0</v>
      </c>
      <c r="AW32" s="38">
        <f t="shared" si="37"/>
        <v>0</v>
      </c>
      <c r="AX32" s="38">
        <f t="shared" si="38"/>
        <v>0</v>
      </c>
      <c r="AY32" s="41" t="s">
        <v>296</v>
      </c>
      <c r="AZ32" s="41" t="s">
        <v>312</v>
      </c>
      <c r="BA32" s="37" t="s">
        <v>320</v>
      </c>
      <c r="BC32" s="38">
        <f t="shared" si="39"/>
        <v>0</v>
      </c>
      <c r="BD32" s="38">
        <f t="shared" si="40"/>
        <v>0</v>
      </c>
      <c r="BE32" s="38">
        <v>0</v>
      </c>
      <c r="BF32" s="38">
        <f>32</f>
        <v>32</v>
      </c>
      <c r="BH32" s="20">
        <f t="shared" si="41"/>
        <v>0</v>
      </c>
      <c r="BI32" s="20">
        <f t="shared" si="42"/>
        <v>0</v>
      </c>
      <c r="BJ32" s="20">
        <f t="shared" si="43"/>
        <v>0</v>
      </c>
      <c r="BK32" s="20" t="s">
        <v>325</v>
      </c>
      <c r="BL32" s="38">
        <v>31</v>
      </c>
    </row>
    <row r="33" spans="1:47" ht="12.75">
      <c r="A33" s="5"/>
      <c r="B33" s="14" t="s">
        <v>51</v>
      </c>
      <c r="C33" s="123" t="s">
        <v>188</v>
      </c>
      <c r="D33" s="124"/>
      <c r="E33" s="124"/>
      <c r="F33" s="124"/>
      <c r="G33" s="18" t="s">
        <v>6</v>
      </c>
      <c r="H33" s="18" t="s">
        <v>6</v>
      </c>
      <c r="I33" s="18" t="s">
        <v>6</v>
      </c>
      <c r="J33" s="44">
        <f>SUM(J34:J34)</f>
        <v>0</v>
      </c>
      <c r="K33" s="44">
        <f>SUM(K34:K34)</f>
        <v>0</v>
      </c>
      <c r="L33" s="44">
        <f>SUM(L34:L34)</f>
        <v>0</v>
      </c>
      <c r="M33" s="32"/>
      <c r="N33" s="35"/>
      <c r="AI33" s="37"/>
      <c r="AS33" s="44">
        <f>SUM(AJ34:AJ34)</f>
        <v>0</v>
      </c>
      <c r="AT33" s="44">
        <f>SUM(AK34:AK34)</f>
        <v>0</v>
      </c>
      <c r="AU33" s="44">
        <f>SUM(AL34:AL34)</f>
        <v>0</v>
      </c>
    </row>
    <row r="34" spans="1:64" ht="27" customHeight="1">
      <c r="A34" s="4" t="s">
        <v>25</v>
      </c>
      <c r="B34" s="13" t="s">
        <v>103</v>
      </c>
      <c r="C34" s="121" t="s">
        <v>189</v>
      </c>
      <c r="D34" s="122"/>
      <c r="E34" s="122"/>
      <c r="F34" s="122"/>
      <c r="G34" s="13" t="s">
        <v>264</v>
      </c>
      <c r="H34" s="20">
        <v>0.6126</v>
      </c>
      <c r="I34" s="20">
        <v>0</v>
      </c>
      <c r="J34" s="20">
        <f>H34*AO34</f>
        <v>0</v>
      </c>
      <c r="K34" s="20">
        <f>H34*AP34</f>
        <v>0</v>
      </c>
      <c r="L34" s="20">
        <f>H34*I34</f>
        <v>0</v>
      </c>
      <c r="M34" s="31" t="s">
        <v>284</v>
      </c>
      <c r="N34" s="35"/>
      <c r="Z34" s="38">
        <f>IF(AQ34="5",BJ34,0)</f>
        <v>0</v>
      </c>
      <c r="AB34" s="38">
        <f>IF(AQ34="1",BH34,0)</f>
        <v>0</v>
      </c>
      <c r="AC34" s="38">
        <f>IF(AQ34="1",BI34,0)</f>
        <v>0</v>
      </c>
      <c r="AD34" s="38">
        <f>IF(AQ34="7",BH34,0)</f>
        <v>0</v>
      </c>
      <c r="AE34" s="38">
        <f>IF(AQ34="7",BI34,0)</f>
        <v>0</v>
      </c>
      <c r="AF34" s="38">
        <f>IF(AQ34="2",BH34,0)</f>
        <v>0</v>
      </c>
      <c r="AG34" s="38">
        <f>IF(AQ34="2",BI34,0)</f>
        <v>0</v>
      </c>
      <c r="AH34" s="38">
        <f>IF(AQ34="0",BJ34,0)</f>
        <v>0</v>
      </c>
      <c r="AI34" s="37"/>
      <c r="AJ34" s="20">
        <f>IF(AN34=0,L34,0)</f>
        <v>0</v>
      </c>
      <c r="AK34" s="20">
        <f>IF(AN34=15,L34,0)</f>
        <v>0</v>
      </c>
      <c r="AL34" s="20">
        <f>IF(AN34=21,L34,0)</f>
        <v>0</v>
      </c>
      <c r="AN34" s="38">
        <v>21</v>
      </c>
      <c r="AO34" s="38">
        <f>I34*0.62794467235361</f>
        <v>0</v>
      </c>
      <c r="AP34" s="38">
        <f>I34*(1-0.62794467235361)</f>
        <v>0</v>
      </c>
      <c r="AQ34" s="39" t="s">
        <v>7</v>
      </c>
      <c r="AV34" s="38">
        <f>AW34+AX34</f>
        <v>0</v>
      </c>
      <c r="AW34" s="38">
        <f>H34*AO34</f>
        <v>0</v>
      </c>
      <c r="AX34" s="38">
        <f>H34*AP34</f>
        <v>0</v>
      </c>
      <c r="AY34" s="41" t="s">
        <v>297</v>
      </c>
      <c r="AZ34" s="41" t="s">
        <v>313</v>
      </c>
      <c r="BA34" s="37" t="s">
        <v>320</v>
      </c>
      <c r="BC34" s="38">
        <f>AW34+AX34</f>
        <v>0</v>
      </c>
      <c r="BD34" s="38">
        <f>I34/(100-BE34)*100</f>
        <v>0</v>
      </c>
      <c r="BE34" s="38">
        <v>0</v>
      </c>
      <c r="BF34" s="38">
        <f>34</f>
        <v>34</v>
      </c>
      <c r="BH34" s="20">
        <f>H34*AO34</f>
        <v>0</v>
      </c>
      <c r="BI34" s="20">
        <f>H34*AP34</f>
        <v>0</v>
      </c>
      <c r="BJ34" s="20">
        <f>H34*I34</f>
        <v>0</v>
      </c>
      <c r="BK34" s="20" t="s">
        <v>325</v>
      </c>
      <c r="BL34" s="38">
        <v>45</v>
      </c>
    </row>
    <row r="35" spans="1:47" ht="12.75">
      <c r="A35" s="5"/>
      <c r="B35" s="14" t="s">
        <v>69</v>
      </c>
      <c r="C35" s="123" t="s">
        <v>190</v>
      </c>
      <c r="D35" s="124"/>
      <c r="E35" s="124"/>
      <c r="F35" s="124"/>
      <c r="G35" s="18" t="s">
        <v>6</v>
      </c>
      <c r="H35" s="18" t="s">
        <v>6</v>
      </c>
      <c r="I35" s="18" t="s">
        <v>6</v>
      </c>
      <c r="J35" s="44">
        <f>SUM(J36:J37)</f>
        <v>0</v>
      </c>
      <c r="K35" s="44">
        <f>SUM(K36:K37)</f>
        <v>0</v>
      </c>
      <c r="L35" s="44">
        <f>SUM(L36:L37)</f>
        <v>0</v>
      </c>
      <c r="M35" s="32"/>
      <c r="N35" s="35"/>
      <c r="AI35" s="37"/>
      <c r="AS35" s="44">
        <f>SUM(AJ36:AJ37)</f>
        <v>0</v>
      </c>
      <c r="AT35" s="44">
        <f>SUM(AK36:AK37)</f>
        <v>0</v>
      </c>
      <c r="AU35" s="44">
        <f>SUM(AL36:AL37)</f>
        <v>0</v>
      </c>
    </row>
    <row r="36" spans="1:64" ht="12.75">
      <c r="A36" s="4" t="s">
        <v>26</v>
      </c>
      <c r="B36" s="13" t="s">
        <v>104</v>
      </c>
      <c r="C36" s="121" t="s">
        <v>191</v>
      </c>
      <c r="D36" s="122"/>
      <c r="E36" s="122"/>
      <c r="F36" s="122"/>
      <c r="G36" s="13" t="s">
        <v>265</v>
      </c>
      <c r="H36" s="20">
        <v>4.7502</v>
      </c>
      <c r="I36" s="20">
        <v>0</v>
      </c>
      <c r="J36" s="20">
        <f>H36*AO36</f>
        <v>0</v>
      </c>
      <c r="K36" s="20">
        <f>H36*AP36</f>
        <v>0</v>
      </c>
      <c r="L36" s="20">
        <f>H36*I36</f>
        <v>0</v>
      </c>
      <c r="M36" s="31" t="s">
        <v>284</v>
      </c>
      <c r="N36" s="35"/>
      <c r="Z36" s="38">
        <f>IF(AQ36="5",BJ36,0)</f>
        <v>0</v>
      </c>
      <c r="AB36" s="38">
        <f>IF(AQ36="1",BH36,0)</f>
        <v>0</v>
      </c>
      <c r="AC36" s="38">
        <f>IF(AQ36="1",BI36,0)</f>
        <v>0</v>
      </c>
      <c r="AD36" s="38">
        <f>IF(AQ36="7",BH36,0)</f>
        <v>0</v>
      </c>
      <c r="AE36" s="38">
        <f>IF(AQ36="7",BI36,0)</f>
        <v>0</v>
      </c>
      <c r="AF36" s="38">
        <f>IF(AQ36="2",BH36,0)</f>
        <v>0</v>
      </c>
      <c r="AG36" s="38">
        <f>IF(AQ36="2",BI36,0)</f>
        <v>0</v>
      </c>
      <c r="AH36" s="38">
        <f>IF(AQ36="0",BJ36,0)</f>
        <v>0</v>
      </c>
      <c r="AI36" s="37"/>
      <c r="AJ36" s="20">
        <f>IF(AN36=0,L36,0)</f>
        <v>0</v>
      </c>
      <c r="AK36" s="20">
        <f>IF(AN36=15,L36,0)</f>
        <v>0</v>
      </c>
      <c r="AL36" s="20">
        <f>IF(AN36=21,L36,0)</f>
        <v>0</v>
      </c>
      <c r="AN36" s="38">
        <v>21</v>
      </c>
      <c r="AO36" s="38">
        <f>I36*0</f>
        <v>0</v>
      </c>
      <c r="AP36" s="38">
        <f>I36*(1-0)</f>
        <v>0</v>
      </c>
      <c r="AQ36" s="39" t="s">
        <v>7</v>
      </c>
      <c r="AV36" s="38">
        <f>AW36+AX36</f>
        <v>0</v>
      </c>
      <c r="AW36" s="38">
        <f>H36*AO36</f>
        <v>0</v>
      </c>
      <c r="AX36" s="38">
        <f>H36*AP36</f>
        <v>0</v>
      </c>
      <c r="AY36" s="41" t="s">
        <v>298</v>
      </c>
      <c r="AZ36" s="41" t="s">
        <v>314</v>
      </c>
      <c r="BA36" s="37" t="s">
        <v>320</v>
      </c>
      <c r="BC36" s="38">
        <f>AW36+AX36</f>
        <v>0</v>
      </c>
      <c r="BD36" s="38">
        <f>I36/(100-BE36)*100</f>
        <v>0</v>
      </c>
      <c r="BE36" s="38">
        <v>0</v>
      </c>
      <c r="BF36" s="38">
        <f>36</f>
        <v>36</v>
      </c>
      <c r="BH36" s="20">
        <f>H36*AO36</f>
        <v>0</v>
      </c>
      <c r="BI36" s="20">
        <f>H36*AP36</f>
        <v>0</v>
      </c>
      <c r="BJ36" s="20">
        <f>H36*I36</f>
        <v>0</v>
      </c>
      <c r="BK36" s="20" t="s">
        <v>325</v>
      </c>
      <c r="BL36" s="38">
        <v>63</v>
      </c>
    </row>
    <row r="37" spans="1:64" ht="12.75">
      <c r="A37" s="4" t="s">
        <v>27</v>
      </c>
      <c r="B37" s="13" t="s">
        <v>105</v>
      </c>
      <c r="C37" s="121" t="s">
        <v>192</v>
      </c>
      <c r="D37" s="122"/>
      <c r="E37" s="122"/>
      <c r="F37" s="122"/>
      <c r="G37" s="13" t="s">
        <v>265</v>
      </c>
      <c r="H37" s="20">
        <v>7.497</v>
      </c>
      <c r="I37" s="20">
        <v>0</v>
      </c>
      <c r="J37" s="20">
        <f>H37*AO37</f>
        <v>0</v>
      </c>
      <c r="K37" s="20">
        <f>H37*AP37</f>
        <v>0</v>
      </c>
      <c r="L37" s="20">
        <f>H37*I37</f>
        <v>0</v>
      </c>
      <c r="M37" s="31" t="s">
        <v>284</v>
      </c>
      <c r="N37" s="35"/>
      <c r="Z37" s="38">
        <f>IF(AQ37="5",BJ37,0)</f>
        <v>0</v>
      </c>
      <c r="AB37" s="38">
        <f>IF(AQ37="1",BH37,0)</f>
        <v>0</v>
      </c>
      <c r="AC37" s="38">
        <f>IF(AQ37="1",BI37,0)</f>
        <v>0</v>
      </c>
      <c r="AD37" s="38">
        <f>IF(AQ37="7",BH37,0)</f>
        <v>0</v>
      </c>
      <c r="AE37" s="38">
        <f>IF(AQ37="7",BI37,0)</f>
        <v>0</v>
      </c>
      <c r="AF37" s="38">
        <f>IF(AQ37="2",BH37,0)</f>
        <v>0</v>
      </c>
      <c r="AG37" s="38">
        <f>IF(AQ37="2",BI37,0)</f>
        <v>0</v>
      </c>
      <c r="AH37" s="38">
        <f>IF(AQ37="0",BJ37,0)</f>
        <v>0</v>
      </c>
      <c r="AI37" s="37"/>
      <c r="AJ37" s="20">
        <f>IF(AN37=0,L37,0)</f>
        <v>0</v>
      </c>
      <c r="AK37" s="20">
        <f>IF(AN37=15,L37,0)</f>
        <v>0</v>
      </c>
      <c r="AL37" s="20">
        <f>IF(AN37=21,L37,0)</f>
        <v>0</v>
      </c>
      <c r="AN37" s="38">
        <v>21</v>
      </c>
      <c r="AO37" s="38">
        <f>I37*0</f>
        <v>0</v>
      </c>
      <c r="AP37" s="38">
        <f>I37*(1-0)</f>
        <v>0</v>
      </c>
      <c r="AQ37" s="39" t="s">
        <v>7</v>
      </c>
      <c r="AV37" s="38">
        <f>AW37+AX37</f>
        <v>0</v>
      </c>
      <c r="AW37" s="38">
        <f>H37*AO37</f>
        <v>0</v>
      </c>
      <c r="AX37" s="38">
        <f>H37*AP37</f>
        <v>0</v>
      </c>
      <c r="AY37" s="41" t="s">
        <v>298</v>
      </c>
      <c r="AZ37" s="41" t="s">
        <v>314</v>
      </c>
      <c r="BA37" s="37" t="s">
        <v>320</v>
      </c>
      <c r="BC37" s="38">
        <f>AW37+AX37</f>
        <v>0</v>
      </c>
      <c r="BD37" s="38">
        <f>I37/(100-BE37)*100</f>
        <v>0</v>
      </c>
      <c r="BE37" s="38">
        <v>0</v>
      </c>
      <c r="BF37" s="38">
        <f>37</f>
        <v>37</v>
      </c>
      <c r="BH37" s="20">
        <f>H37*AO37</f>
        <v>0</v>
      </c>
      <c r="BI37" s="20">
        <f>H37*AP37</f>
        <v>0</v>
      </c>
      <c r="BJ37" s="20">
        <f>H37*I37</f>
        <v>0</v>
      </c>
      <c r="BK37" s="20" t="s">
        <v>325</v>
      </c>
      <c r="BL37" s="38">
        <v>63</v>
      </c>
    </row>
    <row r="38" spans="1:47" ht="12.75">
      <c r="A38" s="5"/>
      <c r="B38" s="14" t="s">
        <v>70</v>
      </c>
      <c r="C38" s="123" t="s">
        <v>193</v>
      </c>
      <c r="D38" s="124"/>
      <c r="E38" s="124"/>
      <c r="F38" s="124"/>
      <c r="G38" s="18" t="s">
        <v>6</v>
      </c>
      <c r="H38" s="18" t="s">
        <v>6</v>
      </c>
      <c r="I38" s="18" t="s">
        <v>6</v>
      </c>
      <c r="J38" s="44">
        <f>SUM(J39:J41)</f>
        <v>0</v>
      </c>
      <c r="K38" s="44">
        <f>SUM(K39:K41)</f>
        <v>0</v>
      </c>
      <c r="L38" s="44">
        <f>SUM(L39:L41)</f>
        <v>0</v>
      </c>
      <c r="M38" s="32"/>
      <c r="N38" s="35"/>
      <c r="AI38" s="37"/>
      <c r="AS38" s="44">
        <f>SUM(AJ39:AJ41)</f>
        <v>0</v>
      </c>
      <c r="AT38" s="44">
        <f>SUM(AK39:AK41)</f>
        <v>0</v>
      </c>
      <c r="AU38" s="44">
        <f>SUM(AL39:AL41)</f>
        <v>0</v>
      </c>
    </row>
    <row r="39" spans="1:64" ht="12.75">
      <c r="A39" s="4" t="s">
        <v>28</v>
      </c>
      <c r="B39" s="13" t="s">
        <v>106</v>
      </c>
      <c r="C39" s="121" t="s">
        <v>194</v>
      </c>
      <c r="D39" s="122"/>
      <c r="E39" s="122"/>
      <c r="F39" s="122"/>
      <c r="G39" s="13" t="s">
        <v>266</v>
      </c>
      <c r="H39" s="20">
        <v>4</v>
      </c>
      <c r="I39" s="20">
        <v>0</v>
      </c>
      <c r="J39" s="20">
        <f>H39*AO39</f>
        <v>0</v>
      </c>
      <c r="K39" s="20">
        <f>H39*AP39</f>
        <v>0</v>
      </c>
      <c r="L39" s="20">
        <f>H39*I39</f>
        <v>0</v>
      </c>
      <c r="M39" s="31" t="s">
        <v>284</v>
      </c>
      <c r="N39" s="35"/>
      <c r="Z39" s="38">
        <f>IF(AQ39="5",BJ39,0)</f>
        <v>0</v>
      </c>
      <c r="AB39" s="38">
        <f>IF(AQ39="1",BH39,0)</f>
        <v>0</v>
      </c>
      <c r="AC39" s="38">
        <f>IF(AQ39="1",BI39,0)</f>
        <v>0</v>
      </c>
      <c r="AD39" s="38">
        <f>IF(AQ39="7",BH39,0)</f>
        <v>0</v>
      </c>
      <c r="AE39" s="38">
        <f>IF(AQ39="7",BI39,0)</f>
        <v>0</v>
      </c>
      <c r="AF39" s="38">
        <f>IF(AQ39="2",BH39,0)</f>
        <v>0</v>
      </c>
      <c r="AG39" s="38">
        <f>IF(AQ39="2",BI39,0)</f>
        <v>0</v>
      </c>
      <c r="AH39" s="38">
        <f>IF(AQ39="0",BJ39,0)</f>
        <v>0</v>
      </c>
      <c r="AI39" s="37"/>
      <c r="AJ39" s="20">
        <f>IF(AN39=0,L39,0)</f>
        <v>0</v>
      </c>
      <c r="AK39" s="20">
        <f>IF(AN39=15,L39,0)</f>
        <v>0</v>
      </c>
      <c r="AL39" s="20">
        <f>IF(AN39=21,L39,0)</f>
        <v>0</v>
      </c>
      <c r="AN39" s="38">
        <v>21</v>
      </c>
      <c r="AO39" s="38">
        <f>I39*0.020925341745531</f>
        <v>0</v>
      </c>
      <c r="AP39" s="38">
        <f>I39*(1-0.020925341745531)</f>
        <v>0</v>
      </c>
      <c r="AQ39" s="39" t="s">
        <v>7</v>
      </c>
      <c r="AV39" s="38">
        <f>AW39+AX39</f>
        <v>0</v>
      </c>
      <c r="AW39" s="38">
        <f>H39*AO39</f>
        <v>0</v>
      </c>
      <c r="AX39" s="38">
        <f>H39*AP39</f>
        <v>0</v>
      </c>
      <c r="AY39" s="41" t="s">
        <v>299</v>
      </c>
      <c r="AZ39" s="41" t="s">
        <v>314</v>
      </c>
      <c r="BA39" s="37" t="s">
        <v>320</v>
      </c>
      <c r="BC39" s="38">
        <f>AW39+AX39</f>
        <v>0</v>
      </c>
      <c r="BD39" s="38">
        <f>I39/(100-BE39)*100</f>
        <v>0</v>
      </c>
      <c r="BE39" s="38">
        <v>0</v>
      </c>
      <c r="BF39" s="38">
        <f>39</f>
        <v>39</v>
      </c>
      <c r="BH39" s="20">
        <f>H39*AO39</f>
        <v>0</v>
      </c>
      <c r="BI39" s="20">
        <f>H39*AP39</f>
        <v>0</v>
      </c>
      <c r="BJ39" s="20">
        <f>H39*I39</f>
        <v>0</v>
      </c>
      <c r="BK39" s="20" t="s">
        <v>325</v>
      </c>
      <c r="BL39" s="38">
        <v>64</v>
      </c>
    </row>
    <row r="40" spans="1:64" ht="12.75">
      <c r="A40" s="6" t="s">
        <v>29</v>
      </c>
      <c r="B40" s="15" t="s">
        <v>107</v>
      </c>
      <c r="C40" s="125" t="s">
        <v>195</v>
      </c>
      <c r="D40" s="126"/>
      <c r="E40" s="126"/>
      <c r="F40" s="126"/>
      <c r="G40" s="15" t="s">
        <v>266</v>
      </c>
      <c r="H40" s="21">
        <v>4</v>
      </c>
      <c r="I40" s="21">
        <v>0</v>
      </c>
      <c r="J40" s="21">
        <f>H40*AO40</f>
        <v>0</v>
      </c>
      <c r="K40" s="21">
        <f>H40*AP40</f>
        <v>0</v>
      </c>
      <c r="L40" s="21">
        <f>H40*I40</f>
        <v>0</v>
      </c>
      <c r="M40" s="33" t="s">
        <v>284</v>
      </c>
      <c r="N40" s="35"/>
      <c r="Z40" s="38">
        <f>IF(AQ40="5",BJ40,0)</f>
        <v>0</v>
      </c>
      <c r="AB40" s="38">
        <f>IF(AQ40="1",BH40,0)</f>
        <v>0</v>
      </c>
      <c r="AC40" s="38">
        <f>IF(AQ40="1",BI40,0)</f>
        <v>0</v>
      </c>
      <c r="AD40" s="38">
        <f>IF(AQ40="7",BH40,0)</f>
        <v>0</v>
      </c>
      <c r="AE40" s="38">
        <f>IF(AQ40="7",BI40,0)</f>
        <v>0</v>
      </c>
      <c r="AF40" s="38">
        <f>IF(AQ40="2",BH40,0)</f>
        <v>0</v>
      </c>
      <c r="AG40" s="38">
        <f>IF(AQ40="2",BI40,0)</f>
        <v>0</v>
      </c>
      <c r="AH40" s="38">
        <f>IF(AQ40="0",BJ40,0)</f>
        <v>0</v>
      </c>
      <c r="AI40" s="37"/>
      <c r="AJ40" s="21">
        <f>IF(AN40=0,L40,0)</f>
        <v>0</v>
      </c>
      <c r="AK40" s="21">
        <f>IF(AN40=15,L40,0)</f>
        <v>0</v>
      </c>
      <c r="AL40" s="21">
        <f>IF(AN40=21,L40,0)</f>
        <v>0</v>
      </c>
      <c r="AN40" s="38">
        <v>21</v>
      </c>
      <c r="AO40" s="38">
        <f>I40*1</f>
        <v>0</v>
      </c>
      <c r="AP40" s="38">
        <f>I40*(1-1)</f>
        <v>0</v>
      </c>
      <c r="AQ40" s="40" t="s">
        <v>7</v>
      </c>
      <c r="AV40" s="38">
        <f>AW40+AX40</f>
        <v>0</v>
      </c>
      <c r="AW40" s="38">
        <f>H40*AO40</f>
        <v>0</v>
      </c>
      <c r="AX40" s="38">
        <f>H40*AP40</f>
        <v>0</v>
      </c>
      <c r="AY40" s="41" t="s">
        <v>299</v>
      </c>
      <c r="AZ40" s="41" t="s">
        <v>314</v>
      </c>
      <c r="BA40" s="37" t="s">
        <v>320</v>
      </c>
      <c r="BC40" s="38">
        <f>AW40+AX40</f>
        <v>0</v>
      </c>
      <c r="BD40" s="38">
        <f>I40/(100-BE40)*100</f>
        <v>0</v>
      </c>
      <c r="BE40" s="38">
        <v>0</v>
      </c>
      <c r="BF40" s="38">
        <f>40</f>
        <v>40</v>
      </c>
      <c r="BH40" s="21">
        <f>H40*AO40</f>
        <v>0</v>
      </c>
      <c r="BI40" s="21">
        <f>H40*AP40</f>
        <v>0</v>
      </c>
      <c r="BJ40" s="21">
        <f>H40*I40</f>
        <v>0</v>
      </c>
      <c r="BK40" s="21" t="s">
        <v>326</v>
      </c>
      <c r="BL40" s="38">
        <v>64</v>
      </c>
    </row>
    <row r="41" spans="1:64" ht="12.75">
      <c r="A41" s="4" t="s">
        <v>30</v>
      </c>
      <c r="B41" s="13" t="s">
        <v>108</v>
      </c>
      <c r="C41" s="121" t="s">
        <v>196</v>
      </c>
      <c r="D41" s="122"/>
      <c r="E41" s="122"/>
      <c r="F41" s="122"/>
      <c r="G41" s="13" t="s">
        <v>266</v>
      </c>
      <c r="H41" s="20">
        <v>4</v>
      </c>
      <c r="I41" s="20">
        <v>0</v>
      </c>
      <c r="J41" s="20">
        <f>H41*AO41</f>
        <v>0</v>
      </c>
      <c r="K41" s="20">
        <f>H41*AP41</f>
        <v>0</v>
      </c>
      <c r="L41" s="20">
        <f>H41*I41</f>
        <v>0</v>
      </c>
      <c r="M41" s="31"/>
      <c r="N41" s="35"/>
      <c r="Z41" s="38">
        <f>IF(AQ41="5",BJ41,0)</f>
        <v>0</v>
      </c>
      <c r="AB41" s="38">
        <f>IF(AQ41="1",BH41,0)</f>
        <v>0</v>
      </c>
      <c r="AC41" s="38">
        <f>IF(AQ41="1",BI41,0)</f>
        <v>0</v>
      </c>
      <c r="AD41" s="38">
        <f>IF(AQ41="7",BH41,0)</f>
        <v>0</v>
      </c>
      <c r="AE41" s="38">
        <f>IF(AQ41="7",BI41,0)</f>
        <v>0</v>
      </c>
      <c r="AF41" s="38">
        <f>IF(AQ41="2",BH41,0)</f>
        <v>0</v>
      </c>
      <c r="AG41" s="38">
        <f>IF(AQ41="2",BI41,0)</f>
        <v>0</v>
      </c>
      <c r="AH41" s="38">
        <f>IF(AQ41="0",BJ41,0)</f>
        <v>0</v>
      </c>
      <c r="AI41" s="37"/>
      <c r="AJ41" s="20">
        <f>IF(AN41=0,L41,0)</f>
        <v>0</v>
      </c>
      <c r="AK41" s="20">
        <f>IF(AN41=15,L41,0)</f>
        <v>0</v>
      </c>
      <c r="AL41" s="20">
        <f>IF(AN41=21,L41,0)</f>
        <v>0</v>
      </c>
      <c r="AN41" s="38">
        <v>21</v>
      </c>
      <c r="AO41" s="38">
        <f>I41*0.909090909090909</f>
        <v>0</v>
      </c>
      <c r="AP41" s="38">
        <f>I41*(1-0.909090909090909)</f>
        <v>0</v>
      </c>
      <c r="AQ41" s="39" t="s">
        <v>7</v>
      </c>
      <c r="AV41" s="38">
        <f>AW41+AX41</f>
        <v>0</v>
      </c>
      <c r="AW41" s="38">
        <f>H41*AO41</f>
        <v>0</v>
      </c>
      <c r="AX41" s="38">
        <f>H41*AP41</f>
        <v>0</v>
      </c>
      <c r="AY41" s="41" t="s">
        <v>299</v>
      </c>
      <c r="AZ41" s="41" t="s">
        <v>314</v>
      </c>
      <c r="BA41" s="37" t="s">
        <v>320</v>
      </c>
      <c r="BC41" s="38">
        <f>AW41+AX41</f>
        <v>0</v>
      </c>
      <c r="BD41" s="38">
        <f>I41/(100-BE41)*100</f>
        <v>0</v>
      </c>
      <c r="BE41" s="38">
        <v>0</v>
      </c>
      <c r="BF41" s="38">
        <f>41</f>
        <v>41</v>
      </c>
      <c r="BH41" s="20">
        <f>H41*AO41</f>
        <v>0</v>
      </c>
      <c r="BI41" s="20">
        <f>H41*AP41</f>
        <v>0</v>
      </c>
      <c r="BJ41" s="20">
        <f>H41*I41</f>
        <v>0</v>
      </c>
      <c r="BK41" s="20" t="s">
        <v>325</v>
      </c>
      <c r="BL41" s="38">
        <v>64</v>
      </c>
    </row>
    <row r="42" spans="1:47" ht="12.75">
      <c r="A42" s="5"/>
      <c r="B42" s="14" t="s">
        <v>109</v>
      </c>
      <c r="C42" s="123" t="s">
        <v>197</v>
      </c>
      <c r="D42" s="124"/>
      <c r="E42" s="124"/>
      <c r="F42" s="124"/>
      <c r="G42" s="18" t="s">
        <v>6</v>
      </c>
      <c r="H42" s="18" t="s">
        <v>6</v>
      </c>
      <c r="I42" s="18" t="s">
        <v>6</v>
      </c>
      <c r="J42" s="44">
        <f>SUM(J43:J46)</f>
        <v>0</v>
      </c>
      <c r="K42" s="44">
        <f>SUM(K43:K46)</f>
        <v>0</v>
      </c>
      <c r="L42" s="44">
        <f>SUM(L43:L46)</f>
        <v>0</v>
      </c>
      <c r="M42" s="32"/>
      <c r="N42" s="35"/>
      <c r="AI42" s="37"/>
      <c r="AS42" s="44">
        <f>SUM(AJ43:AJ46)</f>
        <v>0</v>
      </c>
      <c r="AT42" s="44">
        <f>SUM(AK43:AK46)</f>
        <v>0</v>
      </c>
      <c r="AU42" s="44">
        <f>SUM(AL43:AL46)</f>
        <v>0</v>
      </c>
    </row>
    <row r="43" spans="1:64" ht="12.75">
      <c r="A43" s="4" t="s">
        <v>31</v>
      </c>
      <c r="B43" s="13" t="s">
        <v>110</v>
      </c>
      <c r="C43" s="121" t="s">
        <v>198</v>
      </c>
      <c r="D43" s="122"/>
      <c r="E43" s="122"/>
      <c r="F43" s="122"/>
      <c r="G43" s="13" t="s">
        <v>265</v>
      </c>
      <c r="H43" s="20">
        <v>17.36</v>
      </c>
      <c r="I43" s="20">
        <v>0</v>
      </c>
      <c r="J43" s="20">
        <f>H43*AO43</f>
        <v>0</v>
      </c>
      <c r="K43" s="20">
        <f>H43*AP43</f>
        <v>0</v>
      </c>
      <c r="L43" s="20">
        <f>H43*I43</f>
        <v>0</v>
      </c>
      <c r="M43" s="31" t="s">
        <v>284</v>
      </c>
      <c r="N43" s="35"/>
      <c r="Z43" s="38">
        <f>IF(AQ43="5",BJ43,0)</f>
        <v>0</v>
      </c>
      <c r="AB43" s="38">
        <f>IF(AQ43="1",BH43,0)</f>
        <v>0</v>
      </c>
      <c r="AC43" s="38">
        <f>IF(AQ43="1",BI43,0)</f>
        <v>0</v>
      </c>
      <c r="AD43" s="38">
        <f>IF(AQ43="7",BH43,0)</f>
        <v>0</v>
      </c>
      <c r="AE43" s="38">
        <f>IF(AQ43="7",BI43,0)</f>
        <v>0</v>
      </c>
      <c r="AF43" s="38">
        <f>IF(AQ43="2",BH43,0)</f>
        <v>0</v>
      </c>
      <c r="AG43" s="38">
        <f>IF(AQ43="2",BI43,0)</f>
        <v>0</v>
      </c>
      <c r="AH43" s="38">
        <f>IF(AQ43="0",BJ43,0)</f>
        <v>0</v>
      </c>
      <c r="AI43" s="37"/>
      <c r="AJ43" s="20">
        <f>IF(AN43=0,L43,0)</f>
        <v>0</v>
      </c>
      <c r="AK43" s="20">
        <f>IF(AN43=15,L43,0)</f>
        <v>0</v>
      </c>
      <c r="AL43" s="20">
        <f>IF(AN43=21,L43,0)</f>
        <v>0</v>
      </c>
      <c r="AN43" s="38">
        <v>21</v>
      </c>
      <c r="AO43" s="38">
        <f>I43*0.656121213683535</f>
        <v>0</v>
      </c>
      <c r="AP43" s="38">
        <f>I43*(1-0.656121213683535)</f>
        <v>0</v>
      </c>
      <c r="AQ43" s="39" t="s">
        <v>13</v>
      </c>
      <c r="AV43" s="38">
        <f>AW43+AX43</f>
        <v>0</v>
      </c>
      <c r="AW43" s="38">
        <f>H43*AO43</f>
        <v>0</v>
      </c>
      <c r="AX43" s="38">
        <f>H43*AP43</f>
        <v>0</v>
      </c>
      <c r="AY43" s="41" t="s">
        <v>300</v>
      </c>
      <c r="AZ43" s="41" t="s">
        <v>315</v>
      </c>
      <c r="BA43" s="37" t="s">
        <v>320</v>
      </c>
      <c r="BC43" s="38">
        <f>AW43+AX43</f>
        <v>0</v>
      </c>
      <c r="BD43" s="38">
        <f>I43/(100-BE43)*100</f>
        <v>0</v>
      </c>
      <c r="BE43" s="38">
        <v>0</v>
      </c>
      <c r="BF43" s="38">
        <f>43</f>
        <v>43</v>
      </c>
      <c r="BH43" s="20">
        <f>H43*AO43</f>
        <v>0</v>
      </c>
      <c r="BI43" s="20">
        <f>H43*AP43</f>
        <v>0</v>
      </c>
      <c r="BJ43" s="20">
        <f>H43*I43</f>
        <v>0</v>
      </c>
      <c r="BK43" s="20" t="s">
        <v>325</v>
      </c>
      <c r="BL43" s="38">
        <v>711</v>
      </c>
    </row>
    <row r="44" spans="1:64" ht="12.75">
      <c r="A44" s="4" t="s">
        <v>32</v>
      </c>
      <c r="B44" s="13" t="s">
        <v>111</v>
      </c>
      <c r="C44" s="121" t="s">
        <v>199</v>
      </c>
      <c r="D44" s="122"/>
      <c r="E44" s="122"/>
      <c r="F44" s="122"/>
      <c r="G44" s="13" t="s">
        <v>263</v>
      </c>
      <c r="H44" s="20">
        <v>8.68</v>
      </c>
      <c r="I44" s="20">
        <v>0</v>
      </c>
      <c r="J44" s="20">
        <f>H44*AO44</f>
        <v>0</v>
      </c>
      <c r="K44" s="20">
        <f>H44*AP44</f>
        <v>0</v>
      </c>
      <c r="L44" s="20">
        <f>H44*I44</f>
        <v>0</v>
      </c>
      <c r="M44" s="31" t="s">
        <v>284</v>
      </c>
      <c r="N44" s="35"/>
      <c r="Z44" s="38">
        <f>IF(AQ44="5",BJ44,0)</f>
        <v>0</v>
      </c>
      <c r="AB44" s="38">
        <f>IF(AQ44="1",BH44,0)</f>
        <v>0</v>
      </c>
      <c r="AC44" s="38">
        <f>IF(AQ44="1",BI44,0)</f>
        <v>0</v>
      </c>
      <c r="AD44" s="38">
        <f>IF(AQ44="7",BH44,0)</f>
        <v>0</v>
      </c>
      <c r="AE44" s="38">
        <f>IF(AQ44="7",BI44,0)</f>
        <v>0</v>
      </c>
      <c r="AF44" s="38">
        <f>IF(AQ44="2",BH44,0)</f>
        <v>0</v>
      </c>
      <c r="AG44" s="38">
        <f>IF(AQ44="2",BI44,0)</f>
        <v>0</v>
      </c>
      <c r="AH44" s="38">
        <f>IF(AQ44="0",BJ44,0)</f>
        <v>0</v>
      </c>
      <c r="AI44" s="37"/>
      <c r="AJ44" s="20">
        <f>IF(AN44=0,L44,0)</f>
        <v>0</v>
      </c>
      <c r="AK44" s="20">
        <f>IF(AN44=15,L44,0)</f>
        <v>0</v>
      </c>
      <c r="AL44" s="20">
        <f>IF(AN44=21,L44,0)</f>
        <v>0</v>
      </c>
      <c r="AN44" s="38">
        <v>21</v>
      </c>
      <c r="AO44" s="38">
        <f>I44*0.675681818181818</f>
        <v>0</v>
      </c>
      <c r="AP44" s="38">
        <f>I44*(1-0.675681818181818)</f>
        <v>0</v>
      </c>
      <c r="AQ44" s="39" t="s">
        <v>13</v>
      </c>
      <c r="AV44" s="38">
        <f>AW44+AX44</f>
        <v>0</v>
      </c>
      <c r="AW44" s="38">
        <f>H44*AO44</f>
        <v>0</v>
      </c>
      <c r="AX44" s="38">
        <f>H44*AP44</f>
        <v>0</v>
      </c>
      <c r="AY44" s="41" t="s">
        <v>300</v>
      </c>
      <c r="AZ44" s="41" t="s">
        <v>315</v>
      </c>
      <c r="BA44" s="37" t="s">
        <v>320</v>
      </c>
      <c r="BC44" s="38">
        <f>AW44+AX44</f>
        <v>0</v>
      </c>
      <c r="BD44" s="38">
        <f>I44/(100-BE44)*100</f>
        <v>0</v>
      </c>
      <c r="BE44" s="38">
        <v>0</v>
      </c>
      <c r="BF44" s="38">
        <f>44</f>
        <v>44</v>
      </c>
      <c r="BH44" s="20">
        <f>H44*AO44</f>
        <v>0</v>
      </c>
      <c r="BI44" s="20">
        <f>H44*AP44</f>
        <v>0</v>
      </c>
      <c r="BJ44" s="20">
        <f>H44*I44</f>
        <v>0</v>
      </c>
      <c r="BK44" s="20" t="s">
        <v>325</v>
      </c>
      <c r="BL44" s="38">
        <v>711</v>
      </c>
    </row>
    <row r="45" spans="1:64" ht="12.75">
      <c r="A45" s="4" t="s">
        <v>33</v>
      </c>
      <c r="B45" s="13" t="s">
        <v>112</v>
      </c>
      <c r="C45" s="121" t="s">
        <v>200</v>
      </c>
      <c r="D45" s="122"/>
      <c r="E45" s="122"/>
      <c r="F45" s="122"/>
      <c r="G45" s="13" t="s">
        <v>266</v>
      </c>
      <c r="H45" s="20">
        <v>4</v>
      </c>
      <c r="I45" s="20">
        <v>0</v>
      </c>
      <c r="J45" s="20">
        <f>H45*AO45</f>
        <v>0</v>
      </c>
      <c r="K45" s="20">
        <f>H45*AP45</f>
        <v>0</v>
      </c>
      <c r="L45" s="20">
        <f>H45*I45</f>
        <v>0</v>
      </c>
      <c r="M45" s="31" t="s">
        <v>284</v>
      </c>
      <c r="N45" s="35"/>
      <c r="Z45" s="38">
        <f>IF(AQ45="5",BJ45,0)</f>
        <v>0</v>
      </c>
      <c r="AB45" s="38">
        <f>IF(AQ45="1",BH45,0)</f>
        <v>0</v>
      </c>
      <c r="AC45" s="38">
        <f>IF(AQ45="1",BI45,0)</f>
        <v>0</v>
      </c>
      <c r="AD45" s="38">
        <f>IF(AQ45="7",BH45,0)</f>
        <v>0</v>
      </c>
      <c r="AE45" s="38">
        <f>IF(AQ45="7",BI45,0)</f>
        <v>0</v>
      </c>
      <c r="AF45" s="38">
        <f>IF(AQ45="2",BH45,0)</f>
        <v>0</v>
      </c>
      <c r="AG45" s="38">
        <f>IF(AQ45="2",BI45,0)</f>
        <v>0</v>
      </c>
      <c r="AH45" s="38">
        <f>IF(AQ45="0",BJ45,0)</f>
        <v>0</v>
      </c>
      <c r="AI45" s="37"/>
      <c r="AJ45" s="20">
        <f>IF(AN45=0,L45,0)</f>
        <v>0</v>
      </c>
      <c r="AK45" s="20">
        <f>IF(AN45=15,L45,0)</f>
        <v>0</v>
      </c>
      <c r="AL45" s="20">
        <f>IF(AN45=21,L45,0)</f>
        <v>0</v>
      </c>
      <c r="AN45" s="38">
        <v>21</v>
      </c>
      <c r="AO45" s="38">
        <f>I45*0.864140625</f>
        <v>0</v>
      </c>
      <c r="AP45" s="38">
        <f>I45*(1-0.864140625)</f>
        <v>0</v>
      </c>
      <c r="AQ45" s="39" t="s">
        <v>13</v>
      </c>
      <c r="AV45" s="38">
        <f>AW45+AX45</f>
        <v>0</v>
      </c>
      <c r="AW45" s="38">
        <f>H45*AO45</f>
        <v>0</v>
      </c>
      <c r="AX45" s="38">
        <f>H45*AP45</f>
        <v>0</v>
      </c>
      <c r="AY45" s="41" t="s">
        <v>300</v>
      </c>
      <c r="AZ45" s="41" t="s">
        <v>315</v>
      </c>
      <c r="BA45" s="37" t="s">
        <v>320</v>
      </c>
      <c r="BC45" s="38">
        <f>AW45+AX45</f>
        <v>0</v>
      </c>
      <c r="BD45" s="38">
        <f>I45/(100-BE45)*100</f>
        <v>0</v>
      </c>
      <c r="BE45" s="38">
        <v>0</v>
      </c>
      <c r="BF45" s="38">
        <f>45</f>
        <v>45</v>
      </c>
      <c r="BH45" s="20">
        <f>H45*AO45</f>
        <v>0</v>
      </c>
      <c r="BI45" s="20">
        <f>H45*AP45</f>
        <v>0</v>
      </c>
      <c r="BJ45" s="20">
        <f>H45*I45</f>
        <v>0</v>
      </c>
      <c r="BK45" s="20" t="s">
        <v>325</v>
      </c>
      <c r="BL45" s="38">
        <v>711</v>
      </c>
    </row>
    <row r="46" spans="1:64" ht="12.75">
      <c r="A46" s="4" t="s">
        <v>34</v>
      </c>
      <c r="B46" s="13" t="s">
        <v>113</v>
      </c>
      <c r="C46" s="121" t="s">
        <v>201</v>
      </c>
      <c r="D46" s="122"/>
      <c r="E46" s="122"/>
      <c r="F46" s="122"/>
      <c r="G46" s="13" t="s">
        <v>263</v>
      </c>
      <c r="H46" s="20">
        <v>8</v>
      </c>
      <c r="I46" s="20">
        <v>0</v>
      </c>
      <c r="J46" s="20">
        <f>H46*AO46</f>
        <v>0</v>
      </c>
      <c r="K46" s="20">
        <f>H46*AP46</f>
        <v>0</v>
      </c>
      <c r="L46" s="20">
        <f>H46*I46</f>
        <v>0</v>
      </c>
      <c r="M46" s="31" t="s">
        <v>284</v>
      </c>
      <c r="N46" s="35"/>
      <c r="Z46" s="38">
        <f>IF(AQ46="5",BJ46,0)</f>
        <v>0</v>
      </c>
      <c r="AB46" s="38">
        <f>IF(AQ46="1",BH46,0)</f>
        <v>0</v>
      </c>
      <c r="AC46" s="38">
        <f>IF(AQ46="1",BI46,0)</f>
        <v>0</v>
      </c>
      <c r="AD46" s="38">
        <f>IF(AQ46="7",BH46,0)</f>
        <v>0</v>
      </c>
      <c r="AE46" s="38">
        <f>IF(AQ46="7",BI46,0)</f>
        <v>0</v>
      </c>
      <c r="AF46" s="38">
        <f>IF(AQ46="2",BH46,0)</f>
        <v>0</v>
      </c>
      <c r="AG46" s="38">
        <f>IF(AQ46="2",BI46,0)</f>
        <v>0</v>
      </c>
      <c r="AH46" s="38">
        <f>IF(AQ46="0",BJ46,0)</f>
        <v>0</v>
      </c>
      <c r="AI46" s="37"/>
      <c r="AJ46" s="20">
        <f>IF(AN46=0,L46,0)</f>
        <v>0</v>
      </c>
      <c r="AK46" s="20">
        <f>IF(AN46=15,L46,0)</f>
        <v>0</v>
      </c>
      <c r="AL46" s="20">
        <f>IF(AN46=21,L46,0)</f>
        <v>0</v>
      </c>
      <c r="AN46" s="38">
        <v>21</v>
      </c>
      <c r="AO46" s="38">
        <f>I46*0.620659042247637</f>
        <v>0</v>
      </c>
      <c r="AP46" s="38">
        <f>I46*(1-0.620659042247637)</f>
        <v>0</v>
      </c>
      <c r="AQ46" s="39" t="s">
        <v>13</v>
      </c>
      <c r="AV46" s="38">
        <f>AW46+AX46</f>
        <v>0</v>
      </c>
      <c r="AW46" s="38">
        <f>H46*AO46</f>
        <v>0</v>
      </c>
      <c r="AX46" s="38">
        <f>H46*AP46</f>
        <v>0</v>
      </c>
      <c r="AY46" s="41" t="s">
        <v>300</v>
      </c>
      <c r="AZ46" s="41" t="s">
        <v>315</v>
      </c>
      <c r="BA46" s="37" t="s">
        <v>320</v>
      </c>
      <c r="BC46" s="38">
        <f>AW46+AX46</f>
        <v>0</v>
      </c>
      <c r="BD46" s="38">
        <f>I46/(100-BE46)*100</f>
        <v>0</v>
      </c>
      <c r="BE46" s="38">
        <v>0</v>
      </c>
      <c r="BF46" s="38">
        <f>46</f>
        <v>46</v>
      </c>
      <c r="BH46" s="20">
        <f>H46*AO46</f>
        <v>0</v>
      </c>
      <c r="BI46" s="20">
        <f>H46*AP46</f>
        <v>0</v>
      </c>
      <c r="BJ46" s="20">
        <f>H46*I46</f>
        <v>0</v>
      </c>
      <c r="BK46" s="20" t="s">
        <v>325</v>
      </c>
      <c r="BL46" s="38">
        <v>711</v>
      </c>
    </row>
    <row r="47" spans="1:47" ht="12.75">
      <c r="A47" s="5"/>
      <c r="B47" s="14" t="s">
        <v>114</v>
      </c>
      <c r="C47" s="123" t="s">
        <v>202</v>
      </c>
      <c r="D47" s="124"/>
      <c r="E47" s="124"/>
      <c r="F47" s="124"/>
      <c r="G47" s="18" t="s">
        <v>6</v>
      </c>
      <c r="H47" s="18" t="s">
        <v>6</v>
      </c>
      <c r="I47" s="18" t="s">
        <v>6</v>
      </c>
      <c r="J47" s="44">
        <f>SUM(J48:J48)</f>
        <v>0</v>
      </c>
      <c r="K47" s="44">
        <f>SUM(K48:K48)</f>
        <v>0</v>
      </c>
      <c r="L47" s="44">
        <f>SUM(L48:L48)</f>
        <v>0</v>
      </c>
      <c r="M47" s="32"/>
      <c r="N47" s="35"/>
      <c r="AI47" s="37"/>
      <c r="AS47" s="44">
        <f>SUM(AJ48:AJ48)</f>
        <v>0</v>
      </c>
      <c r="AT47" s="44">
        <f>SUM(AK48:AK48)</f>
        <v>0</v>
      </c>
      <c r="AU47" s="44">
        <f>SUM(AL48:AL48)</f>
        <v>0</v>
      </c>
    </row>
    <row r="48" spans="1:64" ht="12.75">
      <c r="A48" s="4" t="s">
        <v>35</v>
      </c>
      <c r="B48" s="13" t="s">
        <v>115</v>
      </c>
      <c r="C48" s="121" t="s">
        <v>203</v>
      </c>
      <c r="D48" s="122"/>
      <c r="E48" s="122"/>
      <c r="F48" s="122"/>
      <c r="G48" s="13" t="s">
        <v>266</v>
      </c>
      <c r="H48" s="20">
        <v>2</v>
      </c>
      <c r="I48" s="20">
        <v>0</v>
      </c>
      <c r="J48" s="20">
        <f>H48*AO48</f>
        <v>0</v>
      </c>
      <c r="K48" s="20">
        <f>H48*AP48</f>
        <v>0</v>
      </c>
      <c r="L48" s="20">
        <f>H48*I48</f>
        <v>0</v>
      </c>
      <c r="M48" s="31" t="s">
        <v>284</v>
      </c>
      <c r="N48" s="35"/>
      <c r="Z48" s="38">
        <f>IF(AQ48="5",BJ48,0)</f>
        <v>0</v>
      </c>
      <c r="AB48" s="38">
        <f>IF(AQ48="1",BH48,0)</f>
        <v>0</v>
      </c>
      <c r="AC48" s="38">
        <f>IF(AQ48="1",BI48,0)</f>
        <v>0</v>
      </c>
      <c r="AD48" s="38">
        <f>IF(AQ48="7",BH48,0)</f>
        <v>0</v>
      </c>
      <c r="AE48" s="38">
        <f>IF(AQ48="7",BI48,0)</f>
        <v>0</v>
      </c>
      <c r="AF48" s="38">
        <f>IF(AQ48="2",BH48,0)</f>
        <v>0</v>
      </c>
      <c r="AG48" s="38">
        <f>IF(AQ48="2",BI48,0)</f>
        <v>0</v>
      </c>
      <c r="AH48" s="38">
        <f>IF(AQ48="0",BJ48,0)</f>
        <v>0</v>
      </c>
      <c r="AI48" s="37"/>
      <c r="AJ48" s="20">
        <f>IF(AN48=0,L48,0)</f>
        <v>0</v>
      </c>
      <c r="AK48" s="20">
        <f>IF(AN48=15,L48,0)</f>
        <v>0</v>
      </c>
      <c r="AL48" s="20">
        <f>IF(AN48=21,L48,0)</f>
        <v>0</v>
      </c>
      <c r="AN48" s="38">
        <v>21</v>
      </c>
      <c r="AO48" s="38">
        <f>I48*0.940011329523428</f>
        <v>0</v>
      </c>
      <c r="AP48" s="38">
        <f>I48*(1-0.940011329523428)</f>
        <v>0</v>
      </c>
      <c r="AQ48" s="39" t="s">
        <v>13</v>
      </c>
      <c r="AV48" s="38">
        <f>AW48+AX48</f>
        <v>0</v>
      </c>
      <c r="AW48" s="38">
        <f>H48*AO48</f>
        <v>0</v>
      </c>
      <c r="AX48" s="38">
        <f>H48*AP48</f>
        <v>0</v>
      </c>
      <c r="AY48" s="41" t="s">
        <v>301</v>
      </c>
      <c r="AZ48" s="41" t="s">
        <v>316</v>
      </c>
      <c r="BA48" s="37" t="s">
        <v>320</v>
      </c>
      <c r="BC48" s="38">
        <f>AW48+AX48</f>
        <v>0</v>
      </c>
      <c r="BD48" s="38">
        <f>I48/(100-BE48)*100</f>
        <v>0</v>
      </c>
      <c r="BE48" s="38">
        <v>0</v>
      </c>
      <c r="BF48" s="38">
        <f>48</f>
        <v>48</v>
      </c>
      <c r="BH48" s="20">
        <f>H48*AO48</f>
        <v>0</v>
      </c>
      <c r="BI48" s="20">
        <f>H48*AP48</f>
        <v>0</v>
      </c>
      <c r="BJ48" s="20">
        <f>H48*I48</f>
        <v>0</v>
      </c>
      <c r="BK48" s="20" t="s">
        <v>325</v>
      </c>
      <c r="BL48" s="38">
        <v>721</v>
      </c>
    </row>
    <row r="49" spans="1:47" ht="12.75">
      <c r="A49" s="5"/>
      <c r="B49" s="14" t="s">
        <v>116</v>
      </c>
      <c r="C49" s="123" t="s">
        <v>204</v>
      </c>
      <c r="D49" s="124"/>
      <c r="E49" s="124"/>
      <c r="F49" s="124"/>
      <c r="G49" s="18" t="s">
        <v>6</v>
      </c>
      <c r="H49" s="18" t="s">
        <v>6</v>
      </c>
      <c r="I49" s="18" t="s">
        <v>6</v>
      </c>
      <c r="J49" s="44">
        <f>SUM(J50:J57)</f>
        <v>0</v>
      </c>
      <c r="K49" s="44">
        <f>SUM(K50:K57)</f>
        <v>0</v>
      </c>
      <c r="L49" s="44">
        <f>SUM(L50:L57)</f>
        <v>0</v>
      </c>
      <c r="M49" s="32"/>
      <c r="N49" s="35"/>
      <c r="AI49" s="37"/>
      <c r="AS49" s="44">
        <f>SUM(AJ50:AJ57)</f>
        <v>0</v>
      </c>
      <c r="AT49" s="44">
        <f>SUM(AK50:AK57)</f>
        <v>0</v>
      </c>
      <c r="AU49" s="44">
        <f>SUM(AL50:AL57)</f>
        <v>0</v>
      </c>
    </row>
    <row r="50" spans="1:64" ht="12.75">
      <c r="A50" s="4" t="s">
        <v>36</v>
      </c>
      <c r="B50" s="13" t="s">
        <v>117</v>
      </c>
      <c r="C50" s="121" t="s">
        <v>205</v>
      </c>
      <c r="D50" s="122"/>
      <c r="E50" s="122"/>
      <c r="F50" s="122"/>
      <c r="G50" s="13" t="s">
        <v>262</v>
      </c>
      <c r="H50" s="20">
        <v>2</v>
      </c>
      <c r="I50" s="20">
        <v>0</v>
      </c>
      <c r="J50" s="20">
        <f aca="true" t="shared" si="44" ref="J50:J57">H50*AO50</f>
        <v>0</v>
      </c>
      <c r="K50" s="20">
        <f aca="true" t="shared" si="45" ref="K50:K57">H50*AP50</f>
        <v>0</v>
      </c>
      <c r="L50" s="20">
        <f aca="true" t="shared" si="46" ref="L50:L57">H50*I50</f>
        <v>0</v>
      </c>
      <c r="M50" s="31" t="s">
        <v>284</v>
      </c>
      <c r="N50" s="35"/>
      <c r="Z50" s="38">
        <f aca="true" t="shared" si="47" ref="Z50:Z57">IF(AQ50="5",BJ50,0)</f>
        <v>0</v>
      </c>
      <c r="AB50" s="38">
        <f aca="true" t="shared" si="48" ref="AB50:AB57">IF(AQ50="1",BH50,0)</f>
        <v>0</v>
      </c>
      <c r="AC50" s="38">
        <f aca="true" t="shared" si="49" ref="AC50:AC57">IF(AQ50="1",BI50,0)</f>
        <v>0</v>
      </c>
      <c r="AD50" s="38">
        <f aca="true" t="shared" si="50" ref="AD50:AD57">IF(AQ50="7",BH50,0)</f>
        <v>0</v>
      </c>
      <c r="AE50" s="38">
        <f aca="true" t="shared" si="51" ref="AE50:AE57">IF(AQ50="7",BI50,0)</f>
        <v>0</v>
      </c>
      <c r="AF50" s="38">
        <f aca="true" t="shared" si="52" ref="AF50:AF57">IF(AQ50="2",BH50,0)</f>
        <v>0</v>
      </c>
      <c r="AG50" s="38">
        <f aca="true" t="shared" si="53" ref="AG50:AG57">IF(AQ50="2",BI50,0)</f>
        <v>0</v>
      </c>
      <c r="AH50" s="38">
        <f aca="true" t="shared" si="54" ref="AH50:AH57">IF(AQ50="0",BJ50,0)</f>
        <v>0</v>
      </c>
      <c r="AI50" s="37"/>
      <c r="AJ50" s="20">
        <f aca="true" t="shared" si="55" ref="AJ50:AJ57">IF(AN50=0,L50,0)</f>
        <v>0</v>
      </c>
      <c r="AK50" s="20">
        <f aca="true" t="shared" si="56" ref="AK50:AK57">IF(AN50=15,L50,0)</f>
        <v>0</v>
      </c>
      <c r="AL50" s="20">
        <f aca="true" t="shared" si="57" ref="AL50:AL57">IF(AN50=21,L50,0)</f>
        <v>0</v>
      </c>
      <c r="AN50" s="38">
        <v>21</v>
      </c>
      <c r="AO50" s="38">
        <f>I50*0</f>
        <v>0</v>
      </c>
      <c r="AP50" s="38">
        <f>I50*(1-0)</f>
        <v>0</v>
      </c>
      <c r="AQ50" s="39" t="s">
        <v>13</v>
      </c>
      <c r="AV50" s="38">
        <f aca="true" t="shared" si="58" ref="AV50:AV57">AW50+AX50</f>
        <v>0</v>
      </c>
      <c r="AW50" s="38">
        <f aca="true" t="shared" si="59" ref="AW50:AW57">H50*AO50</f>
        <v>0</v>
      </c>
      <c r="AX50" s="38">
        <f aca="true" t="shared" si="60" ref="AX50:AX57">H50*AP50</f>
        <v>0</v>
      </c>
      <c r="AY50" s="41" t="s">
        <v>302</v>
      </c>
      <c r="AZ50" s="41" t="s">
        <v>316</v>
      </c>
      <c r="BA50" s="37" t="s">
        <v>320</v>
      </c>
      <c r="BC50" s="38">
        <f aca="true" t="shared" si="61" ref="BC50:BC57">AW50+AX50</f>
        <v>0</v>
      </c>
      <c r="BD50" s="38">
        <f aca="true" t="shared" si="62" ref="BD50:BD57">I50/(100-BE50)*100</f>
        <v>0</v>
      </c>
      <c r="BE50" s="38">
        <v>0</v>
      </c>
      <c r="BF50" s="38">
        <f>50</f>
        <v>50</v>
      </c>
      <c r="BH50" s="20">
        <f aca="true" t="shared" si="63" ref="BH50:BH57">H50*AO50</f>
        <v>0</v>
      </c>
      <c r="BI50" s="20">
        <f aca="true" t="shared" si="64" ref="BI50:BI57">H50*AP50</f>
        <v>0</v>
      </c>
      <c r="BJ50" s="20">
        <f aca="true" t="shared" si="65" ref="BJ50:BJ57">H50*I50</f>
        <v>0</v>
      </c>
      <c r="BK50" s="20" t="s">
        <v>325</v>
      </c>
      <c r="BL50" s="38">
        <v>725</v>
      </c>
    </row>
    <row r="51" spans="1:64" ht="12.75">
      <c r="A51" s="4" t="s">
        <v>37</v>
      </c>
      <c r="B51" s="13" t="s">
        <v>118</v>
      </c>
      <c r="C51" s="121" t="s">
        <v>206</v>
      </c>
      <c r="D51" s="122"/>
      <c r="E51" s="122"/>
      <c r="F51" s="122"/>
      <c r="G51" s="13" t="s">
        <v>266</v>
      </c>
      <c r="H51" s="20">
        <v>2</v>
      </c>
      <c r="I51" s="20">
        <v>0</v>
      </c>
      <c r="J51" s="20">
        <f t="shared" si="44"/>
        <v>0</v>
      </c>
      <c r="K51" s="20">
        <f t="shared" si="45"/>
        <v>0</v>
      </c>
      <c r="L51" s="20">
        <f t="shared" si="46"/>
        <v>0</v>
      </c>
      <c r="M51" s="31" t="s">
        <v>284</v>
      </c>
      <c r="N51" s="35"/>
      <c r="Z51" s="38">
        <f t="shared" si="47"/>
        <v>0</v>
      </c>
      <c r="AB51" s="38">
        <f t="shared" si="48"/>
        <v>0</v>
      </c>
      <c r="AC51" s="38">
        <f t="shared" si="49"/>
        <v>0</v>
      </c>
      <c r="AD51" s="38">
        <f t="shared" si="50"/>
        <v>0</v>
      </c>
      <c r="AE51" s="38">
        <f t="shared" si="51"/>
        <v>0</v>
      </c>
      <c r="AF51" s="38">
        <f t="shared" si="52"/>
        <v>0</v>
      </c>
      <c r="AG51" s="38">
        <f t="shared" si="53"/>
        <v>0</v>
      </c>
      <c r="AH51" s="38">
        <f t="shared" si="54"/>
        <v>0</v>
      </c>
      <c r="AI51" s="37"/>
      <c r="AJ51" s="20">
        <f t="shared" si="55"/>
        <v>0</v>
      </c>
      <c r="AK51" s="20">
        <f t="shared" si="56"/>
        <v>0</v>
      </c>
      <c r="AL51" s="20">
        <f t="shared" si="57"/>
        <v>0</v>
      </c>
      <c r="AN51" s="38">
        <v>21</v>
      </c>
      <c r="AO51" s="38">
        <f>I51*0.673503836317136</f>
        <v>0</v>
      </c>
      <c r="AP51" s="38">
        <f>I51*(1-0.673503836317136)</f>
        <v>0</v>
      </c>
      <c r="AQ51" s="39" t="s">
        <v>13</v>
      </c>
      <c r="AV51" s="38">
        <f t="shared" si="58"/>
        <v>0</v>
      </c>
      <c r="AW51" s="38">
        <f t="shared" si="59"/>
        <v>0</v>
      </c>
      <c r="AX51" s="38">
        <f t="shared" si="60"/>
        <v>0</v>
      </c>
      <c r="AY51" s="41" t="s">
        <v>302</v>
      </c>
      <c r="AZ51" s="41" t="s">
        <v>316</v>
      </c>
      <c r="BA51" s="37" t="s">
        <v>320</v>
      </c>
      <c r="BC51" s="38">
        <f t="shared" si="61"/>
        <v>0</v>
      </c>
      <c r="BD51" s="38">
        <f t="shared" si="62"/>
        <v>0</v>
      </c>
      <c r="BE51" s="38">
        <v>0</v>
      </c>
      <c r="BF51" s="38">
        <f>51</f>
        <v>51</v>
      </c>
      <c r="BH51" s="20">
        <f t="shared" si="63"/>
        <v>0</v>
      </c>
      <c r="BI51" s="20">
        <f t="shared" si="64"/>
        <v>0</v>
      </c>
      <c r="BJ51" s="20">
        <f t="shared" si="65"/>
        <v>0</v>
      </c>
      <c r="BK51" s="20" t="s">
        <v>325</v>
      </c>
      <c r="BL51" s="38">
        <v>725</v>
      </c>
    </row>
    <row r="52" spans="1:64" ht="12.75">
      <c r="A52" s="4" t="s">
        <v>38</v>
      </c>
      <c r="B52" s="13" t="s">
        <v>119</v>
      </c>
      <c r="C52" s="121" t="s">
        <v>207</v>
      </c>
      <c r="D52" s="122"/>
      <c r="E52" s="122"/>
      <c r="F52" s="122"/>
      <c r="G52" s="13" t="s">
        <v>262</v>
      </c>
      <c r="H52" s="20">
        <v>4</v>
      </c>
      <c r="I52" s="20">
        <v>0</v>
      </c>
      <c r="J52" s="20">
        <f t="shared" si="44"/>
        <v>0</v>
      </c>
      <c r="K52" s="20">
        <f t="shared" si="45"/>
        <v>0</v>
      </c>
      <c r="L52" s="20">
        <f t="shared" si="46"/>
        <v>0</v>
      </c>
      <c r="M52" s="31" t="s">
        <v>284</v>
      </c>
      <c r="N52" s="35"/>
      <c r="Z52" s="38">
        <f t="shared" si="47"/>
        <v>0</v>
      </c>
      <c r="AB52" s="38">
        <f t="shared" si="48"/>
        <v>0</v>
      </c>
      <c r="AC52" s="38">
        <f t="shared" si="49"/>
        <v>0</v>
      </c>
      <c r="AD52" s="38">
        <f t="shared" si="50"/>
        <v>0</v>
      </c>
      <c r="AE52" s="38">
        <f t="shared" si="51"/>
        <v>0</v>
      </c>
      <c r="AF52" s="38">
        <f t="shared" si="52"/>
        <v>0</v>
      </c>
      <c r="AG52" s="38">
        <f t="shared" si="53"/>
        <v>0</v>
      </c>
      <c r="AH52" s="38">
        <f t="shared" si="54"/>
        <v>0</v>
      </c>
      <c r="AI52" s="37"/>
      <c r="AJ52" s="20">
        <f t="shared" si="55"/>
        <v>0</v>
      </c>
      <c r="AK52" s="20">
        <f t="shared" si="56"/>
        <v>0</v>
      </c>
      <c r="AL52" s="20">
        <f t="shared" si="57"/>
        <v>0</v>
      </c>
      <c r="AN52" s="38">
        <v>21</v>
      </c>
      <c r="AO52" s="38">
        <f>I52*0.963583980872684</f>
        <v>0</v>
      </c>
      <c r="AP52" s="38">
        <f>I52*(1-0.963583980872684)</f>
        <v>0</v>
      </c>
      <c r="AQ52" s="39" t="s">
        <v>13</v>
      </c>
      <c r="AV52" s="38">
        <f t="shared" si="58"/>
        <v>0</v>
      </c>
      <c r="AW52" s="38">
        <f t="shared" si="59"/>
        <v>0</v>
      </c>
      <c r="AX52" s="38">
        <f t="shared" si="60"/>
        <v>0</v>
      </c>
      <c r="AY52" s="41" t="s">
        <v>302</v>
      </c>
      <c r="AZ52" s="41" t="s">
        <v>316</v>
      </c>
      <c r="BA52" s="37" t="s">
        <v>320</v>
      </c>
      <c r="BC52" s="38">
        <f t="shared" si="61"/>
        <v>0</v>
      </c>
      <c r="BD52" s="38">
        <f t="shared" si="62"/>
        <v>0</v>
      </c>
      <c r="BE52" s="38">
        <v>0</v>
      </c>
      <c r="BF52" s="38">
        <f>52</f>
        <v>52</v>
      </c>
      <c r="BH52" s="20">
        <f t="shared" si="63"/>
        <v>0</v>
      </c>
      <c r="BI52" s="20">
        <f t="shared" si="64"/>
        <v>0</v>
      </c>
      <c r="BJ52" s="20">
        <f t="shared" si="65"/>
        <v>0</v>
      </c>
      <c r="BK52" s="20" t="s">
        <v>325</v>
      </c>
      <c r="BL52" s="38">
        <v>725</v>
      </c>
    </row>
    <row r="53" spans="1:64" ht="12.75">
      <c r="A53" s="4" t="s">
        <v>39</v>
      </c>
      <c r="B53" s="13" t="s">
        <v>120</v>
      </c>
      <c r="C53" s="121" t="s">
        <v>208</v>
      </c>
      <c r="D53" s="122"/>
      <c r="E53" s="122"/>
      <c r="F53" s="122"/>
      <c r="G53" s="13" t="s">
        <v>266</v>
      </c>
      <c r="H53" s="20">
        <v>2</v>
      </c>
      <c r="I53" s="20">
        <v>0</v>
      </c>
      <c r="J53" s="20">
        <f t="shared" si="44"/>
        <v>0</v>
      </c>
      <c r="K53" s="20">
        <f t="shared" si="45"/>
        <v>0</v>
      </c>
      <c r="L53" s="20">
        <f t="shared" si="46"/>
        <v>0</v>
      </c>
      <c r="M53" s="31" t="s">
        <v>284</v>
      </c>
      <c r="N53" s="35"/>
      <c r="Z53" s="38">
        <f t="shared" si="47"/>
        <v>0</v>
      </c>
      <c r="AB53" s="38">
        <f t="shared" si="48"/>
        <v>0</v>
      </c>
      <c r="AC53" s="38">
        <f t="shared" si="49"/>
        <v>0</v>
      </c>
      <c r="AD53" s="38">
        <f t="shared" si="50"/>
        <v>0</v>
      </c>
      <c r="AE53" s="38">
        <f t="shared" si="51"/>
        <v>0</v>
      </c>
      <c r="AF53" s="38">
        <f t="shared" si="52"/>
        <v>0</v>
      </c>
      <c r="AG53" s="38">
        <f t="shared" si="53"/>
        <v>0</v>
      </c>
      <c r="AH53" s="38">
        <f t="shared" si="54"/>
        <v>0</v>
      </c>
      <c r="AI53" s="37"/>
      <c r="AJ53" s="20">
        <f t="shared" si="55"/>
        <v>0</v>
      </c>
      <c r="AK53" s="20">
        <f t="shared" si="56"/>
        <v>0</v>
      </c>
      <c r="AL53" s="20">
        <f t="shared" si="57"/>
        <v>0</v>
      </c>
      <c r="AN53" s="38">
        <v>21</v>
      </c>
      <c r="AO53" s="38">
        <f>I53*0.89479271070615</f>
        <v>0</v>
      </c>
      <c r="AP53" s="38">
        <f>I53*(1-0.89479271070615)</f>
        <v>0</v>
      </c>
      <c r="AQ53" s="39" t="s">
        <v>13</v>
      </c>
      <c r="AV53" s="38">
        <f t="shared" si="58"/>
        <v>0</v>
      </c>
      <c r="AW53" s="38">
        <f t="shared" si="59"/>
        <v>0</v>
      </c>
      <c r="AX53" s="38">
        <f t="shared" si="60"/>
        <v>0</v>
      </c>
      <c r="AY53" s="41" t="s">
        <v>302</v>
      </c>
      <c r="AZ53" s="41" t="s">
        <v>316</v>
      </c>
      <c r="BA53" s="37" t="s">
        <v>320</v>
      </c>
      <c r="BC53" s="38">
        <f t="shared" si="61"/>
        <v>0</v>
      </c>
      <c r="BD53" s="38">
        <f t="shared" si="62"/>
        <v>0</v>
      </c>
      <c r="BE53" s="38">
        <v>0</v>
      </c>
      <c r="BF53" s="38">
        <f>53</f>
        <v>53</v>
      </c>
      <c r="BH53" s="20">
        <f t="shared" si="63"/>
        <v>0</v>
      </c>
      <c r="BI53" s="20">
        <f t="shared" si="64"/>
        <v>0</v>
      </c>
      <c r="BJ53" s="20">
        <f t="shared" si="65"/>
        <v>0</v>
      </c>
      <c r="BK53" s="20" t="s">
        <v>325</v>
      </c>
      <c r="BL53" s="38">
        <v>725</v>
      </c>
    </row>
    <row r="54" spans="1:64" ht="12.75">
      <c r="A54" s="4" t="s">
        <v>40</v>
      </c>
      <c r="B54" s="13" t="s">
        <v>121</v>
      </c>
      <c r="C54" s="121" t="s">
        <v>209</v>
      </c>
      <c r="D54" s="122"/>
      <c r="E54" s="122"/>
      <c r="F54" s="122"/>
      <c r="G54" s="13" t="s">
        <v>262</v>
      </c>
      <c r="H54" s="20">
        <v>2</v>
      </c>
      <c r="I54" s="20">
        <v>0</v>
      </c>
      <c r="J54" s="20">
        <f t="shared" si="44"/>
        <v>0</v>
      </c>
      <c r="K54" s="20">
        <f t="shared" si="45"/>
        <v>0</v>
      </c>
      <c r="L54" s="20">
        <f t="shared" si="46"/>
        <v>0</v>
      </c>
      <c r="M54" s="31" t="s">
        <v>284</v>
      </c>
      <c r="N54" s="35"/>
      <c r="Z54" s="38">
        <f t="shared" si="47"/>
        <v>0</v>
      </c>
      <c r="AB54" s="38">
        <f t="shared" si="48"/>
        <v>0</v>
      </c>
      <c r="AC54" s="38">
        <f t="shared" si="49"/>
        <v>0</v>
      </c>
      <c r="AD54" s="38">
        <f t="shared" si="50"/>
        <v>0</v>
      </c>
      <c r="AE54" s="38">
        <f t="shared" si="51"/>
        <v>0</v>
      </c>
      <c r="AF54" s="38">
        <f t="shared" si="52"/>
        <v>0</v>
      </c>
      <c r="AG54" s="38">
        <f t="shared" si="53"/>
        <v>0</v>
      </c>
      <c r="AH54" s="38">
        <f t="shared" si="54"/>
        <v>0</v>
      </c>
      <c r="AI54" s="37"/>
      <c r="AJ54" s="20">
        <f t="shared" si="55"/>
        <v>0</v>
      </c>
      <c r="AK54" s="20">
        <f t="shared" si="56"/>
        <v>0</v>
      </c>
      <c r="AL54" s="20">
        <f t="shared" si="57"/>
        <v>0</v>
      </c>
      <c r="AN54" s="38">
        <v>21</v>
      </c>
      <c r="AO54" s="38">
        <f>I54*0.630716648291069</f>
        <v>0</v>
      </c>
      <c r="AP54" s="38">
        <f>I54*(1-0.630716648291069)</f>
        <v>0</v>
      </c>
      <c r="AQ54" s="39" t="s">
        <v>13</v>
      </c>
      <c r="AV54" s="38">
        <f t="shared" si="58"/>
        <v>0</v>
      </c>
      <c r="AW54" s="38">
        <f t="shared" si="59"/>
        <v>0</v>
      </c>
      <c r="AX54" s="38">
        <f t="shared" si="60"/>
        <v>0</v>
      </c>
      <c r="AY54" s="41" t="s">
        <v>302</v>
      </c>
      <c r="AZ54" s="41" t="s">
        <v>316</v>
      </c>
      <c r="BA54" s="37" t="s">
        <v>320</v>
      </c>
      <c r="BC54" s="38">
        <f t="shared" si="61"/>
        <v>0</v>
      </c>
      <c r="BD54" s="38">
        <f t="shared" si="62"/>
        <v>0</v>
      </c>
      <c r="BE54" s="38">
        <v>0</v>
      </c>
      <c r="BF54" s="38">
        <f>54</f>
        <v>54</v>
      </c>
      <c r="BH54" s="20">
        <f t="shared" si="63"/>
        <v>0</v>
      </c>
      <c r="BI54" s="20">
        <f t="shared" si="64"/>
        <v>0</v>
      </c>
      <c r="BJ54" s="20">
        <f t="shared" si="65"/>
        <v>0</v>
      </c>
      <c r="BK54" s="20" t="s">
        <v>325</v>
      </c>
      <c r="BL54" s="38">
        <v>725</v>
      </c>
    </row>
    <row r="55" spans="1:64" ht="12.75">
      <c r="A55" s="4" t="s">
        <v>41</v>
      </c>
      <c r="B55" s="13" t="s">
        <v>122</v>
      </c>
      <c r="C55" s="121" t="s">
        <v>210</v>
      </c>
      <c r="D55" s="122"/>
      <c r="E55" s="122"/>
      <c r="F55" s="122"/>
      <c r="G55" s="13" t="s">
        <v>266</v>
      </c>
      <c r="H55" s="20">
        <v>2</v>
      </c>
      <c r="I55" s="20">
        <v>0</v>
      </c>
      <c r="J55" s="20">
        <f t="shared" si="44"/>
        <v>0</v>
      </c>
      <c r="K55" s="20">
        <f t="shared" si="45"/>
        <v>0</v>
      </c>
      <c r="L55" s="20">
        <f t="shared" si="46"/>
        <v>0</v>
      </c>
      <c r="M55" s="31"/>
      <c r="N55" s="35"/>
      <c r="Z55" s="38">
        <f t="shared" si="47"/>
        <v>0</v>
      </c>
      <c r="AB55" s="38">
        <f t="shared" si="48"/>
        <v>0</v>
      </c>
      <c r="AC55" s="38">
        <f t="shared" si="49"/>
        <v>0</v>
      </c>
      <c r="AD55" s="38">
        <f t="shared" si="50"/>
        <v>0</v>
      </c>
      <c r="AE55" s="38">
        <f t="shared" si="51"/>
        <v>0</v>
      </c>
      <c r="AF55" s="38">
        <f t="shared" si="52"/>
        <v>0</v>
      </c>
      <c r="AG55" s="38">
        <f t="shared" si="53"/>
        <v>0</v>
      </c>
      <c r="AH55" s="38">
        <f t="shared" si="54"/>
        <v>0</v>
      </c>
      <c r="AI55" s="37"/>
      <c r="AJ55" s="20">
        <f t="shared" si="55"/>
        <v>0</v>
      </c>
      <c r="AK55" s="20">
        <f t="shared" si="56"/>
        <v>0</v>
      </c>
      <c r="AL55" s="20">
        <f t="shared" si="57"/>
        <v>0</v>
      </c>
      <c r="AN55" s="38">
        <v>21</v>
      </c>
      <c r="AO55" s="38">
        <f>I55*0.818181818181818</f>
        <v>0</v>
      </c>
      <c r="AP55" s="38">
        <f>I55*(1-0.818181818181818)</f>
        <v>0</v>
      </c>
      <c r="AQ55" s="39" t="s">
        <v>13</v>
      </c>
      <c r="AV55" s="38">
        <f t="shared" si="58"/>
        <v>0</v>
      </c>
      <c r="AW55" s="38">
        <f t="shared" si="59"/>
        <v>0</v>
      </c>
      <c r="AX55" s="38">
        <f t="shared" si="60"/>
        <v>0</v>
      </c>
      <c r="AY55" s="41" t="s">
        <v>302</v>
      </c>
      <c r="AZ55" s="41" t="s">
        <v>316</v>
      </c>
      <c r="BA55" s="37" t="s">
        <v>320</v>
      </c>
      <c r="BC55" s="38">
        <f t="shared" si="61"/>
        <v>0</v>
      </c>
      <c r="BD55" s="38">
        <f t="shared" si="62"/>
        <v>0</v>
      </c>
      <c r="BE55" s="38">
        <v>0</v>
      </c>
      <c r="BF55" s="38">
        <f>55</f>
        <v>55</v>
      </c>
      <c r="BH55" s="20">
        <f t="shared" si="63"/>
        <v>0</v>
      </c>
      <c r="BI55" s="20">
        <f t="shared" si="64"/>
        <v>0</v>
      </c>
      <c r="BJ55" s="20">
        <f t="shared" si="65"/>
        <v>0</v>
      </c>
      <c r="BK55" s="20" t="s">
        <v>325</v>
      </c>
      <c r="BL55" s="38">
        <v>725</v>
      </c>
    </row>
    <row r="56" spans="1:64" ht="12.75">
      <c r="A56" s="4" t="s">
        <v>42</v>
      </c>
      <c r="B56" s="13" t="s">
        <v>123</v>
      </c>
      <c r="C56" s="121" t="s">
        <v>211</v>
      </c>
      <c r="D56" s="122"/>
      <c r="E56" s="122"/>
      <c r="F56" s="122"/>
      <c r="G56" s="13" t="s">
        <v>266</v>
      </c>
      <c r="H56" s="20">
        <v>6</v>
      </c>
      <c r="I56" s="20">
        <v>0</v>
      </c>
      <c r="J56" s="20">
        <f t="shared" si="44"/>
        <v>0</v>
      </c>
      <c r="K56" s="20">
        <f t="shared" si="45"/>
        <v>0</v>
      </c>
      <c r="L56" s="20">
        <f t="shared" si="46"/>
        <v>0</v>
      </c>
      <c r="M56" s="31" t="s">
        <v>284</v>
      </c>
      <c r="N56" s="35"/>
      <c r="Z56" s="38">
        <f t="shared" si="47"/>
        <v>0</v>
      </c>
      <c r="AB56" s="38">
        <f t="shared" si="48"/>
        <v>0</v>
      </c>
      <c r="AC56" s="38">
        <f t="shared" si="49"/>
        <v>0</v>
      </c>
      <c r="AD56" s="38">
        <f t="shared" si="50"/>
        <v>0</v>
      </c>
      <c r="AE56" s="38">
        <f t="shared" si="51"/>
        <v>0</v>
      </c>
      <c r="AF56" s="38">
        <f t="shared" si="52"/>
        <v>0</v>
      </c>
      <c r="AG56" s="38">
        <f t="shared" si="53"/>
        <v>0</v>
      </c>
      <c r="AH56" s="38">
        <f t="shared" si="54"/>
        <v>0</v>
      </c>
      <c r="AI56" s="37"/>
      <c r="AJ56" s="20">
        <f t="shared" si="55"/>
        <v>0</v>
      </c>
      <c r="AK56" s="20">
        <f t="shared" si="56"/>
        <v>0</v>
      </c>
      <c r="AL56" s="20">
        <f t="shared" si="57"/>
        <v>0</v>
      </c>
      <c r="AN56" s="38">
        <v>21</v>
      </c>
      <c r="AO56" s="38">
        <f>I56*0.75532319391635</f>
        <v>0</v>
      </c>
      <c r="AP56" s="38">
        <f>I56*(1-0.75532319391635)</f>
        <v>0</v>
      </c>
      <c r="AQ56" s="39" t="s">
        <v>13</v>
      </c>
      <c r="AV56" s="38">
        <f t="shared" si="58"/>
        <v>0</v>
      </c>
      <c r="AW56" s="38">
        <f t="shared" si="59"/>
        <v>0</v>
      </c>
      <c r="AX56" s="38">
        <f t="shared" si="60"/>
        <v>0</v>
      </c>
      <c r="AY56" s="41" t="s">
        <v>302</v>
      </c>
      <c r="AZ56" s="41" t="s">
        <v>316</v>
      </c>
      <c r="BA56" s="37" t="s">
        <v>320</v>
      </c>
      <c r="BC56" s="38">
        <f t="shared" si="61"/>
        <v>0</v>
      </c>
      <c r="BD56" s="38">
        <f t="shared" si="62"/>
        <v>0</v>
      </c>
      <c r="BE56" s="38">
        <v>0</v>
      </c>
      <c r="BF56" s="38">
        <f>56</f>
        <v>56</v>
      </c>
      <c r="BH56" s="20">
        <f t="shared" si="63"/>
        <v>0</v>
      </c>
      <c r="BI56" s="20">
        <f t="shared" si="64"/>
        <v>0</v>
      </c>
      <c r="BJ56" s="20">
        <f t="shared" si="65"/>
        <v>0</v>
      </c>
      <c r="BK56" s="20" t="s">
        <v>325</v>
      </c>
      <c r="BL56" s="38">
        <v>725</v>
      </c>
    </row>
    <row r="57" spans="1:64" ht="12.75">
      <c r="A57" s="6" t="s">
        <v>43</v>
      </c>
      <c r="B57" s="15" t="s">
        <v>124</v>
      </c>
      <c r="C57" s="125" t="s">
        <v>212</v>
      </c>
      <c r="D57" s="126"/>
      <c r="E57" s="126"/>
      <c r="F57" s="126"/>
      <c r="G57" s="15" t="s">
        <v>266</v>
      </c>
      <c r="H57" s="21">
        <v>1</v>
      </c>
      <c r="I57" s="21">
        <v>0</v>
      </c>
      <c r="J57" s="21">
        <f t="shared" si="44"/>
        <v>0</v>
      </c>
      <c r="K57" s="21">
        <f t="shared" si="45"/>
        <v>0</v>
      </c>
      <c r="L57" s="21">
        <f t="shared" si="46"/>
        <v>0</v>
      </c>
      <c r="M57" s="33" t="s">
        <v>284</v>
      </c>
      <c r="N57" s="35"/>
      <c r="Z57" s="38">
        <f t="shared" si="47"/>
        <v>0</v>
      </c>
      <c r="AB57" s="38">
        <f t="shared" si="48"/>
        <v>0</v>
      </c>
      <c r="AC57" s="38">
        <f t="shared" si="49"/>
        <v>0</v>
      </c>
      <c r="AD57" s="38">
        <f t="shared" si="50"/>
        <v>0</v>
      </c>
      <c r="AE57" s="38">
        <f t="shared" si="51"/>
        <v>0</v>
      </c>
      <c r="AF57" s="38">
        <f t="shared" si="52"/>
        <v>0</v>
      </c>
      <c r="AG57" s="38">
        <f t="shared" si="53"/>
        <v>0</v>
      </c>
      <c r="AH57" s="38">
        <f t="shared" si="54"/>
        <v>0</v>
      </c>
      <c r="AI57" s="37"/>
      <c r="AJ57" s="21">
        <f t="shared" si="55"/>
        <v>0</v>
      </c>
      <c r="AK57" s="21">
        <f t="shared" si="56"/>
        <v>0</v>
      </c>
      <c r="AL57" s="21">
        <f t="shared" si="57"/>
        <v>0</v>
      </c>
      <c r="AN57" s="38">
        <v>21</v>
      </c>
      <c r="AO57" s="38">
        <f>I57*1</f>
        <v>0</v>
      </c>
      <c r="AP57" s="38">
        <f>I57*(1-1)</f>
        <v>0</v>
      </c>
      <c r="AQ57" s="40" t="s">
        <v>13</v>
      </c>
      <c r="AV57" s="38">
        <f t="shared" si="58"/>
        <v>0</v>
      </c>
      <c r="AW57" s="38">
        <f t="shared" si="59"/>
        <v>0</v>
      </c>
      <c r="AX57" s="38">
        <f t="shared" si="60"/>
        <v>0</v>
      </c>
      <c r="AY57" s="41" t="s">
        <v>302</v>
      </c>
      <c r="AZ57" s="41" t="s">
        <v>316</v>
      </c>
      <c r="BA57" s="37" t="s">
        <v>320</v>
      </c>
      <c r="BC57" s="38">
        <f t="shared" si="61"/>
        <v>0</v>
      </c>
      <c r="BD57" s="38">
        <f t="shared" si="62"/>
        <v>0</v>
      </c>
      <c r="BE57" s="38">
        <v>0</v>
      </c>
      <c r="BF57" s="38">
        <f>57</f>
        <v>57</v>
      </c>
      <c r="BH57" s="21">
        <f t="shared" si="63"/>
        <v>0</v>
      </c>
      <c r="BI57" s="21">
        <f t="shared" si="64"/>
        <v>0</v>
      </c>
      <c r="BJ57" s="21">
        <f t="shared" si="65"/>
        <v>0</v>
      </c>
      <c r="BK57" s="21" t="s">
        <v>326</v>
      </c>
      <c r="BL57" s="38">
        <v>725</v>
      </c>
    </row>
    <row r="58" spans="1:47" ht="12.75">
      <c r="A58" s="5"/>
      <c r="B58" s="14" t="s">
        <v>125</v>
      </c>
      <c r="C58" s="123" t="s">
        <v>213</v>
      </c>
      <c r="D58" s="124"/>
      <c r="E58" s="124"/>
      <c r="F58" s="124"/>
      <c r="G58" s="18" t="s">
        <v>6</v>
      </c>
      <c r="H58" s="18" t="s">
        <v>6</v>
      </c>
      <c r="I58" s="18" t="s">
        <v>6</v>
      </c>
      <c r="J58" s="44">
        <f>SUM(J59:J67)</f>
        <v>0</v>
      </c>
      <c r="K58" s="44">
        <f>SUM(K59:K67)</f>
        <v>0</v>
      </c>
      <c r="L58" s="44">
        <f>SUM(L59:L67)</f>
        <v>0</v>
      </c>
      <c r="M58" s="32"/>
      <c r="N58" s="35"/>
      <c r="AI58" s="37"/>
      <c r="AS58" s="44">
        <f>SUM(AJ59:AJ67)</f>
        <v>0</v>
      </c>
      <c r="AT58" s="44">
        <f>SUM(AK59:AK67)</f>
        <v>0</v>
      </c>
      <c r="AU58" s="44">
        <f>SUM(AL59:AL67)</f>
        <v>0</v>
      </c>
    </row>
    <row r="59" spans="1:64" ht="12.75">
      <c r="A59" s="4" t="s">
        <v>44</v>
      </c>
      <c r="B59" s="13" t="s">
        <v>126</v>
      </c>
      <c r="C59" s="121" t="s">
        <v>214</v>
      </c>
      <c r="D59" s="122"/>
      <c r="E59" s="122"/>
      <c r="F59" s="122"/>
      <c r="G59" s="13" t="s">
        <v>265</v>
      </c>
      <c r="H59" s="20">
        <v>8.9964</v>
      </c>
      <c r="I59" s="20">
        <v>0</v>
      </c>
      <c r="J59" s="20">
        <f aca="true" t="shared" si="66" ref="J59:J67">H59*AO59</f>
        <v>0</v>
      </c>
      <c r="K59" s="20">
        <f aca="true" t="shared" si="67" ref="K59:K67">H59*AP59</f>
        <v>0</v>
      </c>
      <c r="L59" s="20">
        <f aca="true" t="shared" si="68" ref="L59:L67">H59*I59</f>
        <v>0</v>
      </c>
      <c r="M59" s="31" t="s">
        <v>284</v>
      </c>
      <c r="N59" s="35"/>
      <c r="Z59" s="38">
        <f aca="true" t="shared" si="69" ref="Z59:Z67">IF(AQ59="5",BJ59,0)</f>
        <v>0</v>
      </c>
      <c r="AB59" s="38">
        <f aca="true" t="shared" si="70" ref="AB59:AB67">IF(AQ59="1",BH59,0)</f>
        <v>0</v>
      </c>
      <c r="AC59" s="38">
        <f aca="true" t="shared" si="71" ref="AC59:AC67">IF(AQ59="1",BI59,0)</f>
        <v>0</v>
      </c>
      <c r="AD59" s="38">
        <f aca="true" t="shared" si="72" ref="AD59:AD67">IF(AQ59="7",BH59,0)</f>
        <v>0</v>
      </c>
      <c r="AE59" s="38">
        <f aca="true" t="shared" si="73" ref="AE59:AE67">IF(AQ59="7",BI59,0)</f>
        <v>0</v>
      </c>
      <c r="AF59" s="38">
        <f aca="true" t="shared" si="74" ref="AF59:AF67">IF(AQ59="2",BH59,0)</f>
        <v>0</v>
      </c>
      <c r="AG59" s="38">
        <f aca="true" t="shared" si="75" ref="AG59:AG67">IF(AQ59="2",BI59,0)</f>
        <v>0</v>
      </c>
      <c r="AH59" s="38">
        <f aca="true" t="shared" si="76" ref="AH59:AH67">IF(AQ59="0",BJ59,0)</f>
        <v>0</v>
      </c>
      <c r="AI59" s="37"/>
      <c r="AJ59" s="20">
        <f aca="true" t="shared" si="77" ref="AJ59:AJ67">IF(AN59=0,L59,0)</f>
        <v>0</v>
      </c>
      <c r="AK59" s="20">
        <f aca="true" t="shared" si="78" ref="AK59:AK67">IF(AN59=15,L59,0)</f>
        <v>0</v>
      </c>
      <c r="AL59" s="20">
        <f aca="true" t="shared" si="79" ref="AL59:AL67">IF(AN59=21,L59,0)</f>
        <v>0</v>
      </c>
      <c r="AN59" s="38">
        <v>21</v>
      </c>
      <c r="AO59" s="38">
        <f>I59*0</f>
        <v>0</v>
      </c>
      <c r="AP59" s="38">
        <f>I59*(1-0)</f>
        <v>0</v>
      </c>
      <c r="AQ59" s="39" t="s">
        <v>13</v>
      </c>
      <c r="AV59" s="38">
        <f aca="true" t="shared" si="80" ref="AV59:AV67">AW59+AX59</f>
        <v>0</v>
      </c>
      <c r="AW59" s="38">
        <f aca="true" t="shared" si="81" ref="AW59:AW67">H59*AO59</f>
        <v>0</v>
      </c>
      <c r="AX59" s="38">
        <f aca="true" t="shared" si="82" ref="AX59:AX67">H59*AP59</f>
        <v>0</v>
      </c>
      <c r="AY59" s="41" t="s">
        <v>303</v>
      </c>
      <c r="AZ59" s="41" t="s">
        <v>317</v>
      </c>
      <c r="BA59" s="37" t="s">
        <v>320</v>
      </c>
      <c r="BC59" s="38">
        <f aca="true" t="shared" si="83" ref="BC59:BC67">AW59+AX59</f>
        <v>0</v>
      </c>
      <c r="BD59" s="38">
        <f aca="true" t="shared" si="84" ref="BD59:BD67">I59/(100-BE59)*100</f>
        <v>0</v>
      </c>
      <c r="BE59" s="38">
        <v>0</v>
      </c>
      <c r="BF59" s="38">
        <f>59</f>
        <v>59</v>
      </c>
      <c r="BH59" s="20">
        <f aca="true" t="shared" si="85" ref="BH59:BH67">H59*AO59</f>
        <v>0</v>
      </c>
      <c r="BI59" s="20">
        <f aca="true" t="shared" si="86" ref="BI59:BI67">H59*AP59</f>
        <v>0</v>
      </c>
      <c r="BJ59" s="20">
        <f aca="true" t="shared" si="87" ref="BJ59:BJ67">H59*I59</f>
        <v>0</v>
      </c>
      <c r="BK59" s="20" t="s">
        <v>325</v>
      </c>
      <c r="BL59" s="38">
        <v>771</v>
      </c>
    </row>
    <row r="60" spans="1:64" ht="12.75">
      <c r="A60" s="6" t="s">
        <v>45</v>
      </c>
      <c r="B60" s="15" t="s">
        <v>127</v>
      </c>
      <c r="C60" s="125" t="s">
        <v>215</v>
      </c>
      <c r="D60" s="126"/>
      <c r="E60" s="126"/>
      <c r="F60" s="126"/>
      <c r="G60" s="15" t="s">
        <v>267</v>
      </c>
      <c r="H60" s="21">
        <v>1.2</v>
      </c>
      <c r="I60" s="21">
        <v>0</v>
      </c>
      <c r="J60" s="21">
        <f t="shared" si="66"/>
        <v>0</v>
      </c>
      <c r="K60" s="21">
        <f t="shared" si="67"/>
        <v>0</v>
      </c>
      <c r="L60" s="21">
        <f t="shared" si="68"/>
        <v>0</v>
      </c>
      <c r="M60" s="33" t="s">
        <v>284</v>
      </c>
      <c r="N60" s="35"/>
      <c r="Z60" s="38">
        <f t="shared" si="69"/>
        <v>0</v>
      </c>
      <c r="AB60" s="38">
        <f t="shared" si="70"/>
        <v>0</v>
      </c>
      <c r="AC60" s="38">
        <f t="shared" si="71"/>
        <v>0</v>
      </c>
      <c r="AD60" s="38">
        <f t="shared" si="72"/>
        <v>0</v>
      </c>
      <c r="AE60" s="38">
        <f t="shared" si="73"/>
        <v>0</v>
      </c>
      <c r="AF60" s="38">
        <f t="shared" si="74"/>
        <v>0</v>
      </c>
      <c r="AG60" s="38">
        <f t="shared" si="75"/>
        <v>0</v>
      </c>
      <c r="AH60" s="38">
        <f t="shared" si="76"/>
        <v>0</v>
      </c>
      <c r="AI60" s="37"/>
      <c r="AJ60" s="21">
        <f t="shared" si="77"/>
        <v>0</v>
      </c>
      <c r="AK60" s="21">
        <f t="shared" si="78"/>
        <v>0</v>
      </c>
      <c r="AL60" s="21">
        <f t="shared" si="79"/>
        <v>0</v>
      </c>
      <c r="AN60" s="38">
        <v>21</v>
      </c>
      <c r="AO60" s="38">
        <f>I60*1</f>
        <v>0</v>
      </c>
      <c r="AP60" s="38">
        <f>I60*(1-1)</f>
        <v>0</v>
      </c>
      <c r="AQ60" s="40" t="s">
        <v>13</v>
      </c>
      <c r="AV60" s="38">
        <f t="shared" si="80"/>
        <v>0</v>
      </c>
      <c r="AW60" s="38">
        <f t="shared" si="81"/>
        <v>0</v>
      </c>
      <c r="AX60" s="38">
        <f t="shared" si="82"/>
        <v>0</v>
      </c>
      <c r="AY60" s="41" t="s">
        <v>303</v>
      </c>
      <c r="AZ60" s="41" t="s">
        <v>317</v>
      </c>
      <c r="BA60" s="37" t="s">
        <v>320</v>
      </c>
      <c r="BC60" s="38">
        <f t="shared" si="83"/>
        <v>0</v>
      </c>
      <c r="BD60" s="38">
        <f t="shared" si="84"/>
        <v>0</v>
      </c>
      <c r="BE60" s="38">
        <v>0</v>
      </c>
      <c r="BF60" s="38">
        <f>60</f>
        <v>60</v>
      </c>
      <c r="BH60" s="21">
        <f t="shared" si="85"/>
        <v>0</v>
      </c>
      <c r="BI60" s="21">
        <f t="shared" si="86"/>
        <v>0</v>
      </c>
      <c r="BJ60" s="21">
        <f t="shared" si="87"/>
        <v>0</v>
      </c>
      <c r="BK60" s="21" t="s">
        <v>326</v>
      </c>
      <c r="BL60" s="38">
        <v>771</v>
      </c>
    </row>
    <row r="61" spans="1:64" ht="12.75">
      <c r="A61" s="4" t="s">
        <v>46</v>
      </c>
      <c r="B61" s="13" t="s">
        <v>128</v>
      </c>
      <c r="C61" s="121" t="s">
        <v>216</v>
      </c>
      <c r="D61" s="122"/>
      <c r="E61" s="122"/>
      <c r="F61" s="122"/>
      <c r="G61" s="13" t="s">
        <v>265</v>
      </c>
      <c r="H61" s="20">
        <v>8.9964</v>
      </c>
      <c r="I61" s="20">
        <v>0</v>
      </c>
      <c r="J61" s="20">
        <f t="shared" si="66"/>
        <v>0</v>
      </c>
      <c r="K61" s="20">
        <f t="shared" si="67"/>
        <v>0</v>
      </c>
      <c r="L61" s="20">
        <f t="shared" si="68"/>
        <v>0</v>
      </c>
      <c r="M61" s="31" t="s">
        <v>284</v>
      </c>
      <c r="N61" s="35"/>
      <c r="Z61" s="38">
        <f t="shared" si="69"/>
        <v>0</v>
      </c>
      <c r="AB61" s="38">
        <f t="shared" si="70"/>
        <v>0</v>
      </c>
      <c r="AC61" s="38">
        <f t="shared" si="71"/>
        <v>0</v>
      </c>
      <c r="AD61" s="38">
        <f t="shared" si="72"/>
        <v>0</v>
      </c>
      <c r="AE61" s="38">
        <f t="shared" si="73"/>
        <v>0</v>
      </c>
      <c r="AF61" s="38">
        <f t="shared" si="74"/>
        <v>0</v>
      </c>
      <c r="AG61" s="38">
        <f t="shared" si="75"/>
        <v>0</v>
      </c>
      <c r="AH61" s="38">
        <f t="shared" si="76"/>
        <v>0</v>
      </c>
      <c r="AI61" s="37"/>
      <c r="AJ61" s="20">
        <f t="shared" si="77"/>
        <v>0</v>
      </c>
      <c r="AK61" s="20">
        <f t="shared" si="78"/>
        <v>0</v>
      </c>
      <c r="AL61" s="20">
        <f t="shared" si="79"/>
        <v>0</v>
      </c>
      <c r="AN61" s="38">
        <v>21</v>
      </c>
      <c r="AO61" s="38">
        <f>I61*0.318508140653667</f>
        <v>0</v>
      </c>
      <c r="AP61" s="38">
        <f>I61*(1-0.318508140653667)</f>
        <v>0</v>
      </c>
      <c r="AQ61" s="39" t="s">
        <v>13</v>
      </c>
      <c r="AV61" s="38">
        <f t="shared" si="80"/>
        <v>0</v>
      </c>
      <c r="AW61" s="38">
        <f t="shared" si="81"/>
        <v>0</v>
      </c>
      <c r="AX61" s="38">
        <f t="shared" si="82"/>
        <v>0</v>
      </c>
      <c r="AY61" s="41" t="s">
        <v>303</v>
      </c>
      <c r="AZ61" s="41" t="s">
        <v>317</v>
      </c>
      <c r="BA61" s="37" t="s">
        <v>320</v>
      </c>
      <c r="BC61" s="38">
        <f t="shared" si="83"/>
        <v>0</v>
      </c>
      <c r="BD61" s="38">
        <f t="shared" si="84"/>
        <v>0</v>
      </c>
      <c r="BE61" s="38">
        <v>0</v>
      </c>
      <c r="BF61" s="38">
        <f>61</f>
        <v>61</v>
      </c>
      <c r="BH61" s="20">
        <f t="shared" si="85"/>
        <v>0</v>
      </c>
      <c r="BI61" s="20">
        <f t="shared" si="86"/>
        <v>0</v>
      </c>
      <c r="BJ61" s="20">
        <f t="shared" si="87"/>
        <v>0</v>
      </c>
      <c r="BK61" s="20" t="s">
        <v>325</v>
      </c>
      <c r="BL61" s="38">
        <v>771</v>
      </c>
    </row>
    <row r="62" spans="1:64" ht="12.75">
      <c r="A62" s="6" t="s">
        <v>47</v>
      </c>
      <c r="B62" s="15" t="s">
        <v>129</v>
      </c>
      <c r="C62" s="125" t="s">
        <v>217</v>
      </c>
      <c r="D62" s="126"/>
      <c r="E62" s="126"/>
      <c r="F62" s="126"/>
      <c r="G62" s="15" t="s">
        <v>265</v>
      </c>
      <c r="H62" s="21">
        <v>10.79568</v>
      </c>
      <c r="I62" s="21">
        <v>0</v>
      </c>
      <c r="J62" s="21">
        <f t="shared" si="66"/>
        <v>0</v>
      </c>
      <c r="K62" s="21">
        <f t="shared" si="67"/>
        <v>0</v>
      </c>
      <c r="L62" s="21">
        <f t="shared" si="68"/>
        <v>0</v>
      </c>
      <c r="M62" s="33" t="s">
        <v>284</v>
      </c>
      <c r="N62" s="35"/>
      <c r="Z62" s="38">
        <f t="shared" si="69"/>
        <v>0</v>
      </c>
      <c r="AB62" s="38">
        <f t="shared" si="70"/>
        <v>0</v>
      </c>
      <c r="AC62" s="38">
        <f t="shared" si="71"/>
        <v>0</v>
      </c>
      <c r="AD62" s="38">
        <f t="shared" si="72"/>
        <v>0</v>
      </c>
      <c r="AE62" s="38">
        <f t="shared" si="73"/>
        <v>0</v>
      </c>
      <c r="AF62" s="38">
        <f t="shared" si="74"/>
        <v>0</v>
      </c>
      <c r="AG62" s="38">
        <f t="shared" si="75"/>
        <v>0</v>
      </c>
      <c r="AH62" s="38">
        <f t="shared" si="76"/>
        <v>0</v>
      </c>
      <c r="AI62" s="37"/>
      <c r="AJ62" s="21">
        <f t="shared" si="77"/>
        <v>0</v>
      </c>
      <c r="AK62" s="21">
        <f t="shared" si="78"/>
        <v>0</v>
      </c>
      <c r="AL62" s="21">
        <f t="shared" si="79"/>
        <v>0</v>
      </c>
      <c r="AN62" s="38">
        <v>21</v>
      </c>
      <c r="AO62" s="38">
        <f>I62*1</f>
        <v>0</v>
      </c>
      <c r="AP62" s="38">
        <f>I62*(1-1)</f>
        <v>0</v>
      </c>
      <c r="AQ62" s="40" t="s">
        <v>13</v>
      </c>
      <c r="AV62" s="38">
        <f t="shared" si="80"/>
        <v>0</v>
      </c>
      <c r="AW62" s="38">
        <f t="shared" si="81"/>
        <v>0</v>
      </c>
      <c r="AX62" s="38">
        <f t="shared" si="82"/>
        <v>0</v>
      </c>
      <c r="AY62" s="41" t="s">
        <v>303</v>
      </c>
      <c r="AZ62" s="41" t="s">
        <v>317</v>
      </c>
      <c r="BA62" s="37" t="s">
        <v>320</v>
      </c>
      <c r="BC62" s="38">
        <f t="shared" si="83"/>
        <v>0</v>
      </c>
      <c r="BD62" s="38">
        <f t="shared" si="84"/>
        <v>0</v>
      </c>
      <c r="BE62" s="38">
        <v>0</v>
      </c>
      <c r="BF62" s="38">
        <f>62</f>
        <v>62</v>
      </c>
      <c r="BH62" s="21">
        <f t="shared" si="85"/>
        <v>0</v>
      </c>
      <c r="BI62" s="21">
        <f t="shared" si="86"/>
        <v>0</v>
      </c>
      <c r="BJ62" s="21">
        <f t="shared" si="87"/>
        <v>0</v>
      </c>
      <c r="BK62" s="21" t="s">
        <v>326</v>
      </c>
      <c r="BL62" s="38">
        <v>771</v>
      </c>
    </row>
    <row r="63" spans="1:64" ht="12.75">
      <c r="A63" s="6" t="s">
        <v>48</v>
      </c>
      <c r="B63" s="15" t="s">
        <v>130</v>
      </c>
      <c r="C63" s="125" t="s">
        <v>218</v>
      </c>
      <c r="D63" s="126"/>
      <c r="E63" s="126"/>
      <c r="F63" s="126"/>
      <c r="G63" s="15" t="s">
        <v>267</v>
      </c>
      <c r="H63" s="21">
        <v>15</v>
      </c>
      <c r="I63" s="21">
        <v>0</v>
      </c>
      <c r="J63" s="21">
        <f t="shared" si="66"/>
        <v>0</v>
      </c>
      <c r="K63" s="21">
        <f t="shared" si="67"/>
        <v>0</v>
      </c>
      <c r="L63" s="21">
        <f t="shared" si="68"/>
        <v>0</v>
      </c>
      <c r="M63" s="33" t="s">
        <v>284</v>
      </c>
      <c r="N63" s="35"/>
      <c r="Z63" s="38">
        <f t="shared" si="69"/>
        <v>0</v>
      </c>
      <c r="AB63" s="38">
        <f t="shared" si="70"/>
        <v>0</v>
      </c>
      <c r="AC63" s="38">
        <f t="shared" si="71"/>
        <v>0</v>
      </c>
      <c r="AD63" s="38">
        <f t="shared" si="72"/>
        <v>0</v>
      </c>
      <c r="AE63" s="38">
        <f t="shared" si="73"/>
        <v>0</v>
      </c>
      <c r="AF63" s="38">
        <f t="shared" si="74"/>
        <v>0</v>
      </c>
      <c r="AG63" s="38">
        <f t="shared" si="75"/>
        <v>0</v>
      </c>
      <c r="AH63" s="38">
        <f t="shared" si="76"/>
        <v>0</v>
      </c>
      <c r="AI63" s="37"/>
      <c r="AJ63" s="21">
        <f t="shared" si="77"/>
        <v>0</v>
      </c>
      <c r="AK63" s="21">
        <f t="shared" si="78"/>
        <v>0</v>
      </c>
      <c r="AL63" s="21">
        <f t="shared" si="79"/>
        <v>0</v>
      </c>
      <c r="AN63" s="38">
        <v>21</v>
      </c>
      <c r="AO63" s="38">
        <f>I63*1</f>
        <v>0</v>
      </c>
      <c r="AP63" s="38">
        <f>I63*(1-1)</f>
        <v>0</v>
      </c>
      <c r="AQ63" s="40" t="s">
        <v>13</v>
      </c>
      <c r="AV63" s="38">
        <f t="shared" si="80"/>
        <v>0</v>
      </c>
      <c r="AW63" s="38">
        <f t="shared" si="81"/>
        <v>0</v>
      </c>
      <c r="AX63" s="38">
        <f t="shared" si="82"/>
        <v>0</v>
      </c>
      <c r="AY63" s="41" t="s">
        <v>303</v>
      </c>
      <c r="AZ63" s="41" t="s">
        <v>317</v>
      </c>
      <c r="BA63" s="37" t="s">
        <v>320</v>
      </c>
      <c r="BC63" s="38">
        <f t="shared" si="83"/>
        <v>0</v>
      </c>
      <c r="BD63" s="38">
        <f t="shared" si="84"/>
        <v>0</v>
      </c>
      <c r="BE63" s="38">
        <v>0</v>
      </c>
      <c r="BF63" s="38">
        <f>63</f>
        <v>63</v>
      </c>
      <c r="BH63" s="21">
        <f t="shared" si="85"/>
        <v>0</v>
      </c>
      <c r="BI63" s="21">
        <f t="shared" si="86"/>
        <v>0</v>
      </c>
      <c r="BJ63" s="21">
        <f t="shared" si="87"/>
        <v>0</v>
      </c>
      <c r="BK63" s="21" t="s">
        <v>326</v>
      </c>
      <c r="BL63" s="38">
        <v>771</v>
      </c>
    </row>
    <row r="64" spans="1:64" ht="12.75">
      <c r="A64" s="4" t="s">
        <v>49</v>
      </c>
      <c r="B64" s="13" t="s">
        <v>131</v>
      </c>
      <c r="C64" s="121" t="s">
        <v>219</v>
      </c>
      <c r="D64" s="122"/>
      <c r="E64" s="122"/>
      <c r="F64" s="122"/>
      <c r="G64" s="13" t="s">
        <v>263</v>
      </c>
      <c r="H64" s="20">
        <v>9</v>
      </c>
      <c r="I64" s="20">
        <v>0</v>
      </c>
      <c r="J64" s="20">
        <f t="shared" si="66"/>
        <v>0</v>
      </c>
      <c r="K64" s="20">
        <f t="shared" si="67"/>
        <v>0</v>
      </c>
      <c r="L64" s="20">
        <f t="shared" si="68"/>
        <v>0</v>
      </c>
      <c r="M64" s="31" t="s">
        <v>284</v>
      </c>
      <c r="N64" s="35"/>
      <c r="Z64" s="38">
        <f t="shared" si="69"/>
        <v>0</v>
      </c>
      <c r="AB64" s="38">
        <f t="shared" si="70"/>
        <v>0</v>
      </c>
      <c r="AC64" s="38">
        <f t="shared" si="71"/>
        <v>0</v>
      </c>
      <c r="AD64" s="38">
        <f t="shared" si="72"/>
        <v>0</v>
      </c>
      <c r="AE64" s="38">
        <f t="shared" si="73"/>
        <v>0</v>
      </c>
      <c r="AF64" s="38">
        <f t="shared" si="74"/>
        <v>0</v>
      </c>
      <c r="AG64" s="38">
        <f t="shared" si="75"/>
        <v>0</v>
      </c>
      <c r="AH64" s="38">
        <f t="shared" si="76"/>
        <v>0</v>
      </c>
      <c r="AI64" s="37"/>
      <c r="AJ64" s="20">
        <f t="shared" si="77"/>
        <v>0</v>
      </c>
      <c r="AK64" s="20">
        <f t="shared" si="78"/>
        <v>0</v>
      </c>
      <c r="AL64" s="20">
        <f t="shared" si="79"/>
        <v>0</v>
      </c>
      <c r="AN64" s="38">
        <v>21</v>
      </c>
      <c r="AO64" s="38">
        <f>I64*0.374806401652039</f>
        <v>0</v>
      </c>
      <c r="AP64" s="38">
        <f>I64*(1-0.374806401652039)</f>
        <v>0</v>
      </c>
      <c r="AQ64" s="39" t="s">
        <v>13</v>
      </c>
      <c r="AV64" s="38">
        <f t="shared" si="80"/>
        <v>0</v>
      </c>
      <c r="AW64" s="38">
        <f t="shared" si="81"/>
        <v>0</v>
      </c>
      <c r="AX64" s="38">
        <f t="shared" si="82"/>
        <v>0</v>
      </c>
      <c r="AY64" s="41" t="s">
        <v>303</v>
      </c>
      <c r="AZ64" s="41" t="s">
        <v>317</v>
      </c>
      <c r="BA64" s="37" t="s">
        <v>320</v>
      </c>
      <c r="BC64" s="38">
        <f t="shared" si="83"/>
        <v>0</v>
      </c>
      <c r="BD64" s="38">
        <f t="shared" si="84"/>
        <v>0</v>
      </c>
      <c r="BE64" s="38">
        <v>0</v>
      </c>
      <c r="BF64" s="38">
        <f>64</f>
        <v>64</v>
      </c>
      <c r="BH64" s="20">
        <f t="shared" si="85"/>
        <v>0</v>
      </c>
      <c r="BI64" s="20">
        <f t="shared" si="86"/>
        <v>0</v>
      </c>
      <c r="BJ64" s="20">
        <f t="shared" si="87"/>
        <v>0</v>
      </c>
      <c r="BK64" s="20" t="s">
        <v>325</v>
      </c>
      <c r="BL64" s="38">
        <v>771</v>
      </c>
    </row>
    <row r="65" spans="1:64" ht="12.75">
      <c r="A65" s="4" t="s">
        <v>50</v>
      </c>
      <c r="B65" s="13" t="s">
        <v>132</v>
      </c>
      <c r="C65" s="121" t="s">
        <v>220</v>
      </c>
      <c r="D65" s="122"/>
      <c r="E65" s="122"/>
      <c r="F65" s="122"/>
      <c r="G65" s="13" t="s">
        <v>265</v>
      </c>
      <c r="H65" s="20">
        <v>8.9964</v>
      </c>
      <c r="I65" s="20">
        <v>0</v>
      </c>
      <c r="J65" s="20">
        <f t="shared" si="66"/>
        <v>0</v>
      </c>
      <c r="K65" s="20">
        <f t="shared" si="67"/>
        <v>0</v>
      </c>
      <c r="L65" s="20">
        <f t="shared" si="68"/>
        <v>0</v>
      </c>
      <c r="M65" s="31" t="s">
        <v>284</v>
      </c>
      <c r="N65" s="35"/>
      <c r="Z65" s="38">
        <f t="shared" si="69"/>
        <v>0</v>
      </c>
      <c r="AB65" s="38">
        <f t="shared" si="70"/>
        <v>0</v>
      </c>
      <c r="AC65" s="38">
        <f t="shared" si="71"/>
        <v>0</v>
      </c>
      <c r="AD65" s="38">
        <f t="shared" si="72"/>
        <v>0</v>
      </c>
      <c r="AE65" s="38">
        <f t="shared" si="73"/>
        <v>0</v>
      </c>
      <c r="AF65" s="38">
        <f t="shared" si="74"/>
        <v>0</v>
      </c>
      <c r="AG65" s="38">
        <f t="shared" si="75"/>
        <v>0</v>
      </c>
      <c r="AH65" s="38">
        <f t="shared" si="76"/>
        <v>0</v>
      </c>
      <c r="AI65" s="37"/>
      <c r="AJ65" s="20">
        <f t="shared" si="77"/>
        <v>0</v>
      </c>
      <c r="AK65" s="20">
        <f t="shared" si="78"/>
        <v>0</v>
      </c>
      <c r="AL65" s="20">
        <f t="shared" si="79"/>
        <v>0</v>
      </c>
      <c r="AN65" s="38">
        <v>21</v>
      </c>
      <c r="AO65" s="38">
        <f>I65*1.00003404255319</f>
        <v>0</v>
      </c>
      <c r="AP65" s="38">
        <f>I65*(1-1.00003404255319)</f>
        <v>0</v>
      </c>
      <c r="AQ65" s="39" t="s">
        <v>13</v>
      </c>
      <c r="AV65" s="38">
        <f t="shared" si="80"/>
        <v>0</v>
      </c>
      <c r="AW65" s="38">
        <f t="shared" si="81"/>
        <v>0</v>
      </c>
      <c r="AX65" s="38">
        <f t="shared" si="82"/>
        <v>0</v>
      </c>
      <c r="AY65" s="41" t="s">
        <v>303</v>
      </c>
      <c r="AZ65" s="41" t="s">
        <v>317</v>
      </c>
      <c r="BA65" s="37" t="s">
        <v>320</v>
      </c>
      <c r="BC65" s="38">
        <f t="shared" si="83"/>
        <v>0</v>
      </c>
      <c r="BD65" s="38">
        <f t="shared" si="84"/>
        <v>0</v>
      </c>
      <c r="BE65" s="38">
        <v>0</v>
      </c>
      <c r="BF65" s="38">
        <f>65</f>
        <v>65</v>
      </c>
      <c r="BH65" s="20">
        <f t="shared" si="85"/>
        <v>0</v>
      </c>
      <c r="BI65" s="20">
        <f t="shared" si="86"/>
        <v>0</v>
      </c>
      <c r="BJ65" s="20">
        <f t="shared" si="87"/>
        <v>0</v>
      </c>
      <c r="BK65" s="20" t="s">
        <v>325</v>
      </c>
      <c r="BL65" s="38">
        <v>771</v>
      </c>
    </row>
    <row r="66" spans="1:64" ht="12.75">
      <c r="A66" s="4" t="s">
        <v>51</v>
      </c>
      <c r="B66" s="13" t="s">
        <v>133</v>
      </c>
      <c r="C66" s="121" t="s">
        <v>221</v>
      </c>
      <c r="D66" s="122"/>
      <c r="E66" s="122"/>
      <c r="F66" s="122"/>
      <c r="G66" s="13" t="s">
        <v>265</v>
      </c>
      <c r="H66" s="20">
        <v>8.9964</v>
      </c>
      <c r="I66" s="20">
        <v>0</v>
      </c>
      <c r="J66" s="20">
        <f t="shared" si="66"/>
        <v>0</v>
      </c>
      <c r="K66" s="20">
        <f t="shared" si="67"/>
        <v>0</v>
      </c>
      <c r="L66" s="20">
        <f t="shared" si="68"/>
        <v>0</v>
      </c>
      <c r="M66" s="31" t="s">
        <v>284</v>
      </c>
      <c r="N66" s="35"/>
      <c r="Z66" s="38">
        <f t="shared" si="69"/>
        <v>0</v>
      </c>
      <c r="AB66" s="38">
        <f t="shared" si="70"/>
        <v>0</v>
      </c>
      <c r="AC66" s="38">
        <f t="shared" si="71"/>
        <v>0</v>
      </c>
      <c r="AD66" s="38">
        <f t="shared" si="72"/>
        <v>0</v>
      </c>
      <c r="AE66" s="38">
        <f t="shared" si="73"/>
        <v>0</v>
      </c>
      <c r="AF66" s="38">
        <f t="shared" si="74"/>
        <v>0</v>
      </c>
      <c r="AG66" s="38">
        <f t="shared" si="75"/>
        <v>0</v>
      </c>
      <c r="AH66" s="38">
        <f t="shared" si="76"/>
        <v>0</v>
      </c>
      <c r="AI66" s="37"/>
      <c r="AJ66" s="20">
        <f t="shared" si="77"/>
        <v>0</v>
      </c>
      <c r="AK66" s="20">
        <f t="shared" si="78"/>
        <v>0</v>
      </c>
      <c r="AL66" s="20">
        <f t="shared" si="79"/>
        <v>0</v>
      </c>
      <c r="AN66" s="38">
        <v>21</v>
      </c>
      <c r="AO66" s="38">
        <f>I66*0</f>
        <v>0</v>
      </c>
      <c r="AP66" s="38">
        <f>I66*(1-0)</f>
        <v>0</v>
      </c>
      <c r="AQ66" s="39" t="s">
        <v>13</v>
      </c>
      <c r="AV66" s="38">
        <f t="shared" si="80"/>
        <v>0</v>
      </c>
      <c r="AW66" s="38">
        <f t="shared" si="81"/>
        <v>0</v>
      </c>
      <c r="AX66" s="38">
        <f t="shared" si="82"/>
        <v>0</v>
      </c>
      <c r="AY66" s="41" t="s">
        <v>303</v>
      </c>
      <c r="AZ66" s="41" t="s">
        <v>317</v>
      </c>
      <c r="BA66" s="37" t="s">
        <v>320</v>
      </c>
      <c r="BC66" s="38">
        <f t="shared" si="83"/>
        <v>0</v>
      </c>
      <c r="BD66" s="38">
        <f t="shared" si="84"/>
        <v>0</v>
      </c>
      <c r="BE66" s="38">
        <v>0</v>
      </c>
      <c r="BF66" s="38">
        <f>66</f>
        <v>66</v>
      </c>
      <c r="BH66" s="20">
        <f t="shared" si="85"/>
        <v>0</v>
      </c>
      <c r="BI66" s="20">
        <f t="shared" si="86"/>
        <v>0</v>
      </c>
      <c r="BJ66" s="20">
        <f t="shared" si="87"/>
        <v>0</v>
      </c>
      <c r="BK66" s="20" t="s">
        <v>325</v>
      </c>
      <c r="BL66" s="38">
        <v>771</v>
      </c>
    </row>
    <row r="67" spans="1:64" ht="12.75">
      <c r="A67" s="4" t="s">
        <v>52</v>
      </c>
      <c r="B67" s="13" t="s">
        <v>134</v>
      </c>
      <c r="C67" s="121" t="s">
        <v>222</v>
      </c>
      <c r="D67" s="122"/>
      <c r="E67" s="122"/>
      <c r="F67" s="122"/>
      <c r="G67" s="13" t="s">
        <v>263</v>
      </c>
      <c r="H67" s="20">
        <v>50</v>
      </c>
      <c r="I67" s="20">
        <v>0</v>
      </c>
      <c r="J67" s="20">
        <f t="shared" si="66"/>
        <v>0</v>
      </c>
      <c r="K67" s="20">
        <f t="shared" si="67"/>
        <v>0</v>
      </c>
      <c r="L67" s="20">
        <f t="shared" si="68"/>
        <v>0</v>
      </c>
      <c r="M67" s="31" t="s">
        <v>284</v>
      </c>
      <c r="N67" s="35"/>
      <c r="Z67" s="38">
        <f t="shared" si="69"/>
        <v>0</v>
      </c>
      <c r="AB67" s="38">
        <f t="shared" si="70"/>
        <v>0</v>
      </c>
      <c r="AC67" s="38">
        <f t="shared" si="71"/>
        <v>0</v>
      </c>
      <c r="AD67" s="38">
        <f t="shared" si="72"/>
        <v>0</v>
      </c>
      <c r="AE67" s="38">
        <f t="shared" si="73"/>
        <v>0</v>
      </c>
      <c r="AF67" s="38">
        <f t="shared" si="74"/>
        <v>0</v>
      </c>
      <c r="AG67" s="38">
        <f t="shared" si="75"/>
        <v>0</v>
      </c>
      <c r="AH67" s="38">
        <f t="shared" si="76"/>
        <v>0</v>
      </c>
      <c r="AI67" s="37"/>
      <c r="AJ67" s="20">
        <f t="shared" si="77"/>
        <v>0</v>
      </c>
      <c r="AK67" s="20">
        <f t="shared" si="78"/>
        <v>0</v>
      </c>
      <c r="AL67" s="20">
        <f t="shared" si="79"/>
        <v>0</v>
      </c>
      <c r="AN67" s="38">
        <v>21</v>
      </c>
      <c r="AO67" s="38">
        <f>I67*0.0560496380558428</f>
        <v>0</v>
      </c>
      <c r="AP67" s="38">
        <f>I67*(1-0.0560496380558428)</f>
        <v>0</v>
      </c>
      <c r="AQ67" s="39" t="s">
        <v>13</v>
      </c>
      <c r="AV67" s="38">
        <f t="shared" si="80"/>
        <v>0</v>
      </c>
      <c r="AW67" s="38">
        <f t="shared" si="81"/>
        <v>0</v>
      </c>
      <c r="AX67" s="38">
        <f t="shared" si="82"/>
        <v>0</v>
      </c>
      <c r="AY67" s="41" t="s">
        <v>303</v>
      </c>
      <c r="AZ67" s="41" t="s">
        <v>317</v>
      </c>
      <c r="BA67" s="37" t="s">
        <v>320</v>
      </c>
      <c r="BC67" s="38">
        <f t="shared" si="83"/>
        <v>0</v>
      </c>
      <c r="BD67" s="38">
        <f t="shared" si="84"/>
        <v>0</v>
      </c>
      <c r="BE67" s="38">
        <v>0</v>
      </c>
      <c r="BF67" s="38">
        <f>67</f>
        <v>67</v>
      </c>
      <c r="BH67" s="20">
        <f t="shared" si="85"/>
        <v>0</v>
      </c>
      <c r="BI67" s="20">
        <f t="shared" si="86"/>
        <v>0</v>
      </c>
      <c r="BJ67" s="20">
        <f t="shared" si="87"/>
        <v>0</v>
      </c>
      <c r="BK67" s="20" t="s">
        <v>325</v>
      </c>
      <c r="BL67" s="38">
        <v>771</v>
      </c>
    </row>
    <row r="68" spans="1:47" ht="12.75">
      <c r="A68" s="5"/>
      <c r="B68" s="14" t="s">
        <v>135</v>
      </c>
      <c r="C68" s="123" t="s">
        <v>223</v>
      </c>
      <c r="D68" s="124"/>
      <c r="E68" s="124"/>
      <c r="F68" s="124"/>
      <c r="G68" s="18" t="s">
        <v>6</v>
      </c>
      <c r="H68" s="18" t="s">
        <v>6</v>
      </c>
      <c r="I68" s="18" t="s">
        <v>6</v>
      </c>
      <c r="J68" s="44">
        <f>SUM(J69:J78)</f>
        <v>0</v>
      </c>
      <c r="K68" s="44">
        <f>SUM(K69:K78)</f>
        <v>0</v>
      </c>
      <c r="L68" s="44">
        <f>SUM(L69:L78)</f>
        <v>0</v>
      </c>
      <c r="M68" s="32"/>
      <c r="N68" s="35"/>
      <c r="AI68" s="37"/>
      <c r="AS68" s="44">
        <f>SUM(AJ69:AJ78)</f>
        <v>0</v>
      </c>
      <c r="AT68" s="44">
        <f>SUM(AK69:AK78)</f>
        <v>0</v>
      </c>
      <c r="AU68" s="44">
        <f>SUM(AL69:AL78)</f>
        <v>0</v>
      </c>
    </row>
    <row r="69" spans="1:64" ht="12.75">
      <c r="A69" s="4" t="s">
        <v>53</v>
      </c>
      <c r="B69" s="13" t="s">
        <v>136</v>
      </c>
      <c r="C69" s="121" t="s">
        <v>224</v>
      </c>
      <c r="D69" s="122"/>
      <c r="E69" s="122"/>
      <c r="F69" s="122"/>
      <c r="G69" s="13" t="s">
        <v>265</v>
      </c>
      <c r="H69" s="20">
        <v>18</v>
      </c>
      <c r="I69" s="20">
        <v>0</v>
      </c>
      <c r="J69" s="20">
        <f aca="true" t="shared" si="88" ref="J69:J78">H69*AO69</f>
        <v>0</v>
      </c>
      <c r="K69" s="20">
        <f aca="true" t="shared" si="89" ref="K69:K78">H69*AP69</f>
        <v>0</v>
      </c>
      <c r="L69" s="20">
        <f aca="true" t="shared" si="90" ref="L69:L78">H69*I69</f>
        <v>0</v>
      </c>
      <c r="M69" s="31" t="s">
        <v>284</v>
      </c>
      <c r="N69" s="35"/>
      <c r="Z69" s="38">
        <f aca="true" t="shared" si="91" ref="Z69:Z78">IF(AQ69="5",BJ69,0)</f>
        <v>0</v>
      </c>
      <c r="AB69" s="38">
        <f aca="true" t="shared" si="92" ref="AB69:AB78">IF(AQ69="1",BH69,0)</f>
        <v>0</v>
      </c>
      <c r="AC69" s="38">
        <f aca="true" t="shared" si="93" ref="AC69:AC78">IF(AQ69="1",BI69,0)</f>
        <v>0</v>
      </c>
      <c r="AD69" s="38">
        <f aca="true" t="shared" si="94" ref="AD69:AD78">IF(AQ69="7",BH69,0)</f>
        <v>0</v>
      </c>
      <c r="AE69" s="38">
        <f aca="true" t="shared" si="95" ref="AE69:AE78">IF(AQ69="7",BI69,0)</f>
        <v>0</v>
      </c>
      <c r="AF69" s="38">
        <f aca="true" t="shared" si="96" ref="AF69:AF78">IF(AQ69="2",BH69,0)</f>
        <v>0</v>
      </c>
      <c r="AG69" s="38">
        <f aca="true" t="shared" si="97" ref="AG69:AG78">IF(AQ69="2",BI69,0)</f>
        <v>0</v>
      </c>
      <c r="AH69" s="38">
        <f aca="true" t="shared" si="98" ref="AH69:AH78">IF(AQ69="0",BJ69,0)</f>
        <v>0</v>
      </c>
      <c r="AI69" s="37"/>
      <c r="AJ69" s="20">
        <f aca="true" t="shared" si="99" ref="AJ69:AJ78">IF(AN69=0,L69,0)</f>
        <v>0</v>
      </c>
      <c r="AK69" s="20">
        <f aca="true" t="shared" si="100" ref="AK69:AK78">IF(AN69=15,L69,0)</f>
        <v>0</v>
      </c>
      <c r="AL69" s="20">
        <f aca="true" t="shared" si="101" ref="AL69:AL78">IF(AN69=21,L69,0)</f>
        <v>0</v>
      </c>
      <c r="AN69" s="38">
        <v>21</v>
      </c>
      <c r="AO69" s="38">
        <f>I69*0</f>
        <v>0</v>
      </c>
      <c r="AP69" s="38">
        <f>I69*(1-0)</f>
        <v>0</v>
      </c>
      <c r="AQ69" s="39" t="s">
        <v>13</v>
      </c>
      <c r="AV69" s="38">
        <f aca="true" t="shared" si="102" ref="AV69:AV78">AW69+AX69</f>
        <v>0</v>
      </c>
      <c r="AW69" s="38">
        <f aca="true" t="shared" si="103" ref="AW69:AW78">H69*AO69</f>
        <v>0</v>
      </c>
      <c r="AX69" s="38">
        <f aca="true" t="shared" si="104" ref="AX69:AX78">H69*AP69</f>
        <v>0</v>
      </c>
      <c r="AY69" s="41" t="s">
        <v>304</v>
      </c>
      <c r="AZ69" s="41" t="s">
        <v>318</v>
      </c>
      <c r="BA69" s="37" t="s">
        <v>320</v>
      </c>
      <c r="BC69" s="38">
        <f aca="true" t="shared" si="105" ref="BC69:BC78">AW69+AX69</f>
        <v>0</v>
      </c>
      <c r="BD69" s="38">
        <f aca="true" t="shared" si="106" ref="BD69:BD78">I69/(100-BE69)*100</f>
        <v>0</v>
      </c>
      <c r="BE69" s="38">
        <v>0</v>
      </c>
      <c r="BF69" s="38">
        <f>69</f>
        <v>69</v>
      </c>
      <c r="BH69" s="20">
        <f aca="true" t="shared" si="107" ref="BH69:BH78">H69*AO69</f>
        <v>0</v>
      </c>
      <c r="BI69" s="20">
        <f aca="true" t="shared" si="108" ref="BI69:BI78">H69*AP69</f>
        <v>0</v>
      </c>
      <c r="BJ69" s="20">
        <f aca="true" t="shared" si="109" ref="BJ69:BJ78">H69*I69</f>
        <v>0</v>
      </c>
      <c r="BK69" s="20" t="s">
        <v>325</v>
      </c>
      <c r="BL69" s="38">
        <v>781</v>
      </c>
    </row>
    <row r="70" spans="1:64" ht="12.75">
      <c r="A70" s="4" t="s">
        <v>54</v>
      </c>
      <c r="B70" s="13" t="s">
        <v>137</v>
      </c>
      <c r="C70" s="121" t="s">
        <v>225</v>
      </c>
      <c r="D70" s="122"/>
      <c r="E70" s="122"/>
      <c r="F70" s="122"/>
      <c r="G70" s="13" t="s">
        <v>265</v>
      </c>
      <c r="H70" s="20">
        <v>18</v>
      </c>
      <c r="I70" s="20">
        <v>0</v>
      </c>
      <c r="J70" s="20">
        <f t="shared" si="88"/>
        <v>0</v>
      </c>
      <c r="K70" s="20">
        <f t="shared" si="89"/>
        <v>0</v>
      </c>
      <c r="L70" s="20">
        <f t="shared" si="90"/>
        <v>0</v>
      </c>
      <c r="M70" s="31" t="s">
        <v>284</v>
      </c>
      <c r="N70" s="35"/>
      <c r="Z70" s="38">
        <f t="shared" si="91"/>
        <v>0</v>
      </c>
      <c r="AB70" s="38">
        <f t="shared" si="92"/>
        <v>0</v>
      </c>
      <c r="AC70" s="38">
        <f t="shared" si="93"/>
        <v>0</v>
      </c>
      <c r="AD70" s="38">
        <f t="shared" si="94"/>
        <v>0</v>
      </c>
      <c r="AE70" s="38">
        <f t="shared" si="95"/>
        <v>0</v>
      </c>
      <c r="AF70" s="38">
        <f t="shared" si="96"/>
        <v>0</v>
      </c>
      <c r="AG70" s="38">
        <f t="shared" si="97"/>
        <v>0</v>
      </c>
      <c r="AH70" s="38">
        <f t="shared" si="98"/>
        <v>0</v>
      </c>
      <c r="AI70" s="37"/>
      <c r="AJ70" s="20">
        <f t="shared" si="99"/>
        <v>0</v>
      </c>
      <c r="AK70" s="20">
        <f t="shared" si="100"/>
        <v>0</v>
      </c>
      <c r="AL70" s="20">
        <f t="shared" si="101"/>
        <v>0</v>
      </c>
      <c r="AN70" s="38">
        <v>21</v>
      </c>
      <c r="AO70" s="38">
        <f>I70*0</f>
        <v>0</v>
      </c>
      <c r="AP70" s="38">
        <f>I70*(1-0)</f>
        <v>0</v>
      </c>
      <c r="AQ70" s="39" t="s">
        <v>13</v>
      </c>
      <c r="AV70" s="38">
        <f t="shared" si="102"/>
        <v>0</v>
      </c>
      <c r="AW70" s="38">
        <f t="shared" si="103"/>
        <v>0</v>
      </c>
      <c r="AX70" s="38">
        <f t="shared" si="104"/>
        <v>0</v>
      </c>
      <c r="AY70" s="41" t="s">
        <v>304</v>
      </c>
      <c r="AZ70" s="41" t="s">
        <v>318</v>
      </c>
      <c r="BA70" s="37" t="s">
        <v>320</v>
      </c>
      <c r="BC70" s="38">
        <f t="shared" si="105"/>
        <v>0</v>
      </c>
      <c r="BD70" s="38">
        <f t="shared" si="106"/>
        <v>0</v>
      </c>
      <c r="BE70" s="38">
        <v>0</v>
      </c>
      <c r="BF70" s="38">
        <f>70</f>
        <v>70</v>
      </c>
      <c r="BH70" s="20">
        <f t="shared" si="107"/>
        <v>0</v>
      </c>
      <c r="BI70" s="20">
        <f t="shared" si="108"/>
        <v>0</v>
      </c>
      <c r="BJ70" s="20">
        <f t="shared" si="109"/>
        <v>0</v>
      </c>
      <c r="BK70" s="20" t="s">
        <v>325</v>
      </c>
      <c r="BL70" s="38">
        <v>781</v>
      </c>
    </row>
    <row r="71" spans="1:64" ht="12.75">
      <c r="A71" s="4" t="s">
        <v>55</v>
      </c>
      <c r="B71" s="13" t="s">
        <v>138</v>
      </c>
      <c r="C71" s="121" t="s">
        <v>226</v>
      </c>
      <c r="D71" s="122"/>
      <c r="E71" s="122"/>
      <c r="F71" s="122"/>
      <c r="G71" s="13" t="s">
        <v>265</v>
      </c>
      <c r="H71" s="20">
        <v>21.32</v>
      </c>
      <c r="I71" s="20">
        <v>0</v>
      </c>
      <c r="J71" s="20">
        <f t="shared" si="88"/>
        <v>0</v>
      </c>
      <c r="K71" s="20">
        <f t="shared" si="89"/>
        <v>0</v>
      </c>
      <c r="L71" s="20">
        <f t="shared" si="90"/>
        <v>0</v>
      </c>
      <c r="M71" s="31" t="s">
        <v>284</v>
      </c>
      <c r="N71" s="35"/>
      <c r="Z71" s="38">
        <f t="shared" si="91"/>
        <v>0</v>
      </c>
      <c r="AB71" s="38">
        <f t="shared" si="92"/>
        <v>0</v>
      </c>
      <c r="AC71" s="38">
        <f t="shared" si="93"/>
        <v>0</v>
      </c>
      <c r="AD71" s="38">
        <f t="shared" si="94"/>
        <v>0</v>
      </c>
      <c r="AE71" s="38">
        <f t="shared" si="95"/>
        <v>0</v>
      </c>
      <c r="AF71" s="38">
        <f t="shared" si="96"/>
        <v>0</v>
      </c>
      <c r="AG71" s="38">
        <f t="shared" si="97"/>
        <v>0</v>
      </c>
      <c r="AH71" s="38">
        <f t="shared" si="98"/>
        <v>0</v>
      </c>
      <c r="AI71" s="37"/>
      <c r="AJ71" s="20">
        <f t="shared" si="99"/>
        <v>0</v>
      </c>
      <c r="AK71" s="20">
        <f t="shared" si="100"/>
        <v>0</v>
      </c>
      <c r="AL71" s="20">
        <f t="shared" si="101"/>
        <v>0</v>
      </c>
      <c r="AN71" s="38">
        <v>21</v>
      </c>
      <c r="AO71" s="38">
        <f>I71*0.00257730712506951</f>
        <v>0</v>
      </c>
      <c r="AP71" s="38">
        <f>I71*(1-0.00257730712506951)</f>
        <v>0</v>
      </c>
      <c r="AQ71" s="39" t="s">
        <v>13</v>
      </c>
      <c r="AV71" s="38">
        <f t="shared" si="102"/>
        <v>0</v>
      </c>
      <c r="AW71" s="38">
        <f t="shared" si="103"/>
        <v>0</v>
      </c>
      <c r="AX71" s="38">
        <f t="shared" si="104"/>
        <v>0</v>
      </c>
      <c r="AY71" s="41" t="s">
        <v>304</v>
      </c>
      <c r="AZ71" s="41" t="s">
        <v>318</v>
      </c>
      <c r="BA71" s="37" t="s">
        <v>320</v>
      </c>
      <c r="BC71" s="38">
        <f t="shared" si="105"/>
        <v>0</v>
      </c>
      <c r="BD71" s="38">
        <f t="shared" si="106"/>
        <v>0</v>
      </c>
      <c r="BE71" s="38">
        <v>0</v>
      </c>
      <c r="BF71" s="38">
        <f>71</f>
        <v>71</v>
      </c>
      <c r="BH71" s="20">
        <f t="shared" si="107"/>
        <v>0</v>
      </c>
      <c r="BI71" s="20">
        <f t="shared" si="108"/>
        <v>0</v>
      </c>
      <c r="BJ71" s="20">
        <f t="shared" si="109"/>
        <v>0</v>
      </c>
      <c r="BK71" s="20" t="s">
        <v>325</v>
      </c>
      <c r="BL71" s="38">
        <v>781</v>
      </c>
    </row>
    <row r="72" spans="1:64" ht="12.75">
      <c r="A72" s="4" t="s">
        <v>56</v>
      </c>
      <c r="B72" s="13" t="s">
        <v>126</v>
      </c>
      <c r="C72" s="121" t="s">
        <v>214</v>
      </c>
      <c r="D72" s="122"/>
      <c r="E72" s="122"/>
      <c r="F72" s="122"/>
      <c r="G72" s="13" t="s">
        <v>265</v>
      </c>
      <c r="H72" s="20">
        <v>44.064</v>
      </c>
      <c r="I72" s="20">
        <v>0</v>
      </c>
      <c r="J72" s="20">
        <f t="shared" si="88"/>
        <v>0</v>
      </c>
      <c r="K72" s="20">
        <f t="shared" si="89"/>
        <v>0</v>
      </c>
      <c r="L72" s="20">
        <f t="shared" si="90"/>
        <v>0</v>
      </c>
      <c r="M72" s="31" t="s">
        <v>284</v>
      </c>
      <c r="N72" s="35"/>
      <c r="Z72" s="38">
        <f t="shared" si="91"/>
        <v>0</v>
      </c>
      <c r="AB72" s="38">
        <f t="shared" si="92"/>
        <v>0</v>
      </c>
      <c r="AC72" s="38">
        <f t="shared" si="93"/>
        <v>0</v>
      </c>
      <c r="AD72" s="38">
        <f t="shared" si="94"/>
        <v>0</v>
      </c>
      <c r="AE72" s="38">
        <f t="shared" si="95"/>
        <v>0</v>
      </c>
      <c r="AF72" s="38">
        <f t="shared" si="96"/>
        <v>0</v>
      </c>
      <c r="AG72" s="38">
        <f t="shared" si="97"/>
        <v>0</v>
      </c>
      <c r="AH72" s="38">
        <f t="shared" si="98"/>
        <v>0</v>
      </c>
      <c r="AI72" s="37"/>
      <c r="AJ72" s="20">
        <f t="shared" si="99"/>
        <v>0</v>
      </c>
      <c r="AK72" s="20">
        <f t="shared" si="100"/>
        <v>0</v>
      </c>
      <c r="AL72" s="20">
        <f t="shared" si="101"/>
        <v>0</v>
      </c>
      <c r="AN72" s="38">
        <v>21</v>
      </c>
      <c r="AO72" s="38">
        <f>I72*0</f>
        <v>0</v>
      </c>
      <c r="AP72" s="38">
        <f>I72*(1-0)</f>
        <v>0</v>
      </c>
      <c r="AQ72" s="39" t="s">
        <v>13</v>
      </c>
      <c r="AV72" s="38">
        <f t="shared" si="102"/>
        <v>0</v>
      </c>
      <c r="AW72" s="38">
        <f t="shared" si="103"/>
        <v>0</v>
      </c>
      <c r="AX72" s="38">
        <f t="shared" si="104"/>
        <v>0</v>
      </c>
      <c r="AY72" s="41" t="s">
        <v>304</v>
      </c>
      <c r="AZ72" s="41" t="s">
        <v>318</v>
      </c>
      <c r="BA72" s="37" t="s">
        <v>320</v>
      </c>
      <c r="BC72" s="38">
        <f t="shared" si="105"/>
        <v>0</v>
      </c>
      <c r="BD72" s="38">
        <f t="shared" si="106"/>
        <v>0</v>
      </c>
      <c r="BE72" s="38">
        <v>0</v>
      </c>
      <c r="BF72" s="38">
        <f>72</f>
        <v>72</v>
      </c>
      <c r="BH72" s="20">
        <f t="shared" si="107"/>
        <v>0</v>
      </c>
      <c r="BI72" s="20">
        <f t="shared" si="108"/>
        <v>0</v>
      </c>
      <c r="BJ72" s="20">
        <f t="shared" si="109"/>
        <v>0</v>
      </c>
      <c r="BK72" s="20" t="s">
        <v>325</v>
      </c>
      <c r="BL72" s="38">
        <v>781</v>
      </c>
    </row>
    <row r="73" spans="1:64" ht="12.75">
      <c r="A73" s="6" t="s">
        <v>57</v>
      </c>
      <c r="B73" s="15" t="s">
        <v>127</v>
      </c>
      <c r="C73" s="125" t="s">
        <v>227</v>
      </c>
      <c r="D73" s="126"/>
      <c r="E73" s="126"/>
      <c r="F73" s="126"/>
      <c r="G73" s="15" t="s">
        <v>267</v>
      </c>
      <c r="H73" s="21">
        <v>4.13359</v>
      </c>
      <c r="I73" s="21">
        <v>0</v>
      </c>
      <c r="J73" s="21">
        <f t="shared" si="88"/>
        <v>0</v>
      </c>
      <c r="K73" s="21">
        <f t="shared" si="89"/>
        <v>0</v>
      </c>
      <c r="L73" s="21">
        <f t="shared" si="90"/>
        <v>0</v>
      </c>
      <c r="M73" s="33" t="s">
        <v>284</v>
      </c>
      <c r="N73" s="35"/>
      <c r="Z73" s="38">
        <f t="shared" si="91"/>
        <v>0</v>
      </c>
      <c r="AB73" s="38">
        <f t="shared" si="92"/>
        <v>0</v>
      </c>
      <c r="AC73" s="38">
        <f t="shared" si="93"/>
        <v>0</v>
      </c>
      <c r="AD73" s="38">
        <f t="shared" si="94"/>
        <v>0</v>
      </c>
      <c r="AE73" s="38">
        <f t="shared" si="95"/>
        <v>0</v>
      </c>
      <c r="AF73" s="38">
        <f t="shared" si="96"/>
        <v>0</v>
      </c>
      <c r="AG73" s="38">
        <f t="shared" si="97"/>
        <v>0</v>
      </c>
      <c r="AH73" s="38">
        <f t="shared" si="98"/>
        <v>0</v>
      </c>
      <c r="AI73" s="37"/>
      <c r="AJ73" s="21">
        <f t="shared" si="99"/>
        <v>0</v>
      </c>
      <c r="AK73" s="21">
        <f t="shared" si="100"/>
        <v>0</v>
      </c>
      <c r="AL73" s="21">
        <f t="shared" si="101"/>
        <v>0</v>
      </c>
      <c r="AN73" s="38">
        <v>21</v>
      </c>
      <c r="AO73" s="38">
        <f>I73*1</f>
        <v>0</v>
      </c>
      <c r="AP73" s="38">
        <f>I73*(1-1)</f>
        <v>0</v>
      </c>
      <c r="AQ73" s="40" t="s">
        <v>13</v>
      </c>
      <c r="AV73" s="38">
        <f t="shared" si="102"/>
        <v>0</v>
      </c>
      <c r="AW73" s="38">
        <f t="shared" si="103"/>
        <v>0</v>
      </c>
      <c r="AX73" s="38">
        <f t="shared" si="104"/>
        <v>0</v>
      </c>
      <c r="AY73" s="41" t="s">
        <v>304</v>
      </c>
      <c r="AZ73" s="41" t="s">
        <v>318</v>
      </c>
      <c r="BA73" s="37" t="s">
        <v>320</v>
      </c>
      <c r="BC73" s="38">
        <f t="shared" si="105"/>
        <v>0</v>
      </c>
      <c r="BD73" s="38">
        <f t="shared" si="106"/>
        <v>0</v>
      </c>
      <c r="BE73" s="38">
        <v>0</v>
      </c>
      <c r="BF73" s="38">
        <f>73</f>
        <v>73</v>
      </c>
      <c r="BH73" s="21">
        <f t="shared" si="107"/>
        <v>0</v>
      </c>
      <c r="BI73" s="21">
        <f t="shared" si="108"/>
        <v>0</v>
      </c>
      <c r="BJ73" s="21">
        <f t="shared" si="109"/>
        <v>0</v>
      </c>
      <c r="BK73" s="21" t="s">
        <v>326</v>
      </c>
      <c r="BL73" s="38">
        <v>781</v>
      </c>
    </row>
    <row r="74" spans="1:64" ht="12.75">
      <c r="A74" s="4" t="s">
        <v>58</v>
      </c>
      <c r="B74" s="13" t="s">
        <v>139</v>
      </c>
      <c r="C74" s="121" t="s">
        <v>228</v>
      </c>
      <c r="D74" s="122"/>
      <c r="E74" s="122"/>
      <c r="F74" s="122"/>
      <c r="G74" s="13" t="s">
        <v>265</v>
      </c>
      <c r="H74" s="20">
        <v>44.064</v>
      </c>
      <c r="I74" s="20">
        <v>0</v>
      </c>
      <c r="J74" s="20">
        <f t="shared" si="88"/>
        <v>0</v>
      </c>
      <c r="K74" s="20">
        <f t="shared" si="89"/>
        <v>0</v>
      </c>
      <c r="L74" s="20">
        <f t="shared" si="90"/>
        <v>0</v>
      </c>
      <c r="M74" s="31" t="s">
        <v>284</v>
      </c>
      <c r="N74" s="35"/>
      <c r="Z74" s="38">
        <f t="shared" si="91"/>
        <v>0</v>
      </c>
      <c r="AB74" s="38">
        <f t="shared" si="92"/>
        <v>0</v>
      </c>
      <c r="AC74" s="38">
        <f t="shared" si="93"/>
        <v>0</v>
      </c>
      <c r="AD74" s="38">
        <f t="shared" si="94"/>
        <v>0</v>
      </c>
      <c r="AE74" s="38">
        <f t="shared" si="95"/>
        <v>0</v>
      </c>
      <c r="AF74" s="38">
        <f t="shared" si="96"/>
        <v>0</v>
      </c>
      <c r="AG74" s="38">
        <f t="shared" si="97"/>
        <v>0</v>
      </c>
      <c r="AH74" s="38">
        <f t="shared" si="98"/>
        <v>0</v>
      </c>
      <c r="AI74" s="37"/>
      <c r="AJ74" s="20">
        <f t="shared" si="99"/>
        <v>0</v>
      </c>
      <c r="AK74" s="20">
        <f t="shared" si="100"/>
        <v>0</v>
      </c>
      <c r="AL74" s="20">
        <f t="shared" si="101"/>
        <v>0</v>
      </c>
      <c r="AN74" s="38">
        <v>21</v>
      </c>
      <c r="AO74" s="38">
        <f>I74*0.273263313097465</f>
        <v>0</v>
      </c>
      <c r="AP74" s="38">
        <f>I74*(1-0.273263313097465)</f>
        <v>0</v>
      </c>
      <c r="AQ74" s="39" t="s">
        <v>13</v>
      </c>
      <c r="AV74" s="38">
        <f t="shared" si="102"/>
        <v>0</v>
      </c>
      <c r="AW74" s="38">
        <f t="shared" si="103"/>
        <v>0</v>
      </c>
      <c r="AX74" s="38">
        <f t="shared" si="104"/>
        <v>0</v>
      </c>
      <c r="AY74" s="41" t="s">
        <v>304</v>
      </c>
      <c r="AZ74" s="41" t="s">
        <v>318</v>
      </c>
      <c r="BA74" s="37" t="s">
        <v>320</v>
      </c>
      <c r="BC74" s="38">
        <f t="shared" si="105"/>
        <v>0</v>
      </c>
      <c r="BD74" s="38">
        <f t="shared" si="106"/>
        <v>0</v>
      </c>
      <c r="BE74" s="38">
        <v>0</v>
      </c>
      <c r="BF74" s="38">
        <f>74</f>
        <v>74</v>
      </c>
      <c r="BH74" s="20">
        <f t="shared" si="107"/>
        <v>0</v>
      </c>
      <c r="BI74" s="20">
        <f t="shared" si="108"/>
        <v>0</v>
      </c>
      <c r="BJ74" s="20">
        <f t="shared" si="109"/>
        <v>0</v>
      </c>
      <c r="BK74" s="20" t="s">
        <v>325</v>
      </c>
      <c r="BL74" s="38">
        <v>781</v>
      </c>
    </row>
    <row r="75" spans="1:64" ht="12.75">
      <c r="A75" s="6" t="s">
        <v>59</v>
      </c>
      <c r="B75" s="15" t="s">
        <v>140</v>
      </c>
      <c r="C75" s="125" t="s">
        <v>229</v>
      </c>
      <c r="D75" s="126"/>
      <c r="E75" s="126"/>
      <c r="F75" s="126"/>
      <c r="G75" s="15" t="s">
        <v>265</v>
      </c>
      <c r="H75" s="21">
        <v>52.8768</v>
      </c>
      <c r="I75" s="21">
        <v>0</v>
      </c>
      <c r="J75" s="21">
        <f t="shared" si="88"/>
        <v>0</v>
      </c>
      <c r="K75" s="21">
        <f t="shared" si="89"/>
        <v>0</v>
      </c>
      <c r="L75" s="21">
        <f t="shared" si="90"/>
        <v>0</v>
      </c>
      <c r="M75" s="33" t="s">
        <v>284</v>
      </c>
      <c r="N75" s="35"/>
      <c r="Z75" s="38">
        <f t="shared" si="91"/>
        <v>0</v>
      </c>
      <c r="AB75" s="38">
        <f t="shared" si="92"/>
        <v>0</v>
      </c>
      <c r="AC75" s="38">
        <f t="shared" si="93"/>
        <v>0</v>
      </c>
      <c r="AD75" s="38">
        <f t="shared" si="94"/>
        <v>0</v>
      </c>
      <c r="AE75" s="38">
        <f t="shared" si="95"/>
        <v>0</v>
      </c>
      <c r="AF75" s="38">
        <f t="shared" si="96"/>
        <v>0</v>
      </c>
      <c r="AG75" s="38">
        <f t="shared" si="97"/>
        <v>0</v>
      </c>
      <c r="AH75" s="38">
        <f t="shared" si="98"/>
        <v>0</v>
      </c>
      <c r="AI75" s="37"/>
      <c r="AJ75" s="21">
        <f t="shared" si="99"/>
        <v>0</v>
      </c>
      <c r="AK75" s="21">
        <f t="shared" si="100"/>
        <v>0</v>
      </c>
      <c r="AL75" s="21">
        <f t="shared" si="101"/>
        <v>0</v>
      </c>
      <c r="AN75" s="38">
        <v>21</v>
      </c>
      <c r="AO75" s="38">
        <f>I75*1</f>
        <v>0</v>
      </c>
      <c r="AP75" s="38">
        <f>I75*(1-1)</f>
        <v>0</v>
      </c>
      <c r="AQ75" s="40" t="s">
        <v>13</v>
      </c>
      <c r="AV75" s="38">
        <f t="shared" si="102"/>
        <v>0</v>
      </c>
      <c r="AW75" s="38">
        <f t="shared" si="103"/>
        <v>0</v>
      </c>
      <c r="AX75" s="38">
        <f t="shared" si="104"/>
        <v>0</v>
      </c>
      <c r="AY75" s="41" t="s">
        <v>304</v>
      </c>
      <c r="AZ75" s="41" t="s">
        <v>318</v>
      </c>
      <c r="BA75" s="37" t="s">
        <v>320</v>
      </c>
      <c r="BC75" s="38">
        <f t="shared" si="105"/>
        <v>0</v>
      </c>
      <c r="BD75" s="38">
        <f t="shared" si="106"/>
        <v>0</v>
      </c>
      <c r="BE75" s="38">
        <v>0</v>
      </c>
      <c r="BF75" s="38">
        <f>75</f>
        <v>75</v>
      </c>
      <c r="BH75" s="21">
        <f t="shared" si="107"/>
        <v>0</v>
      </c>
      <c r="BI75" s="21">
        <f t="shared" si="108"/>
        <v>0</v>
      </c>
      <c r="BJ75" s="21">
        <f t="shared" si="109"/>
        <v>0</v>
      </c>
      <c r="BK75" s="21" t="s">
        <v>326</v>
      </c>
      <c r="BL75" s="38">
        <v>781</v>
      </c>
    </row>
    <row r="76" spans="1:64" ht="12.75">
      <c r="A76" s="4" t="s">
        <v>60</v>
      </c>
      <c r="B76" s="13" t="s">
        <v>131</v>
      </c>
      <c r="C76" s="121" t="s">
        <v>230</v>
      </c>
      <c r="D76" s="122"/>
      <c r="E76" s="122"/>
      <c r="F76" s="122"/>
      <c r="G76" s="13" t="s">
        <v>263</v>
      </c>
      <c r="H76" s="20">
        <v>8.8</v>
      </c>
      <c r="I76" s="20">
        <v>0</v>
      </c>
      <c r="J76" s="20">
        <f t="shared" si="88"/>
        <v>0</v>
      </c>
      <c r="K76" s="20">
        <f t="shared" si="89"/>
        <v>0</v>
      </c>
      <c r="L76" s="20">
        <f t="shared" si="90"/>
        <v>0</v>
      </c>
      <c r="M76" s="31" t="s">
        <v>284</v>
      </c>
      <c r="N76" s="35"/>
      <c r="Z76" s="38">
        <f t="shared" si="91"/>
        <v>0</v>
      </c>
      <c r="AB76" s="38">
        <f t="shared" si="92"/>
        <v>0</v>
      </c>
      <c r="AC76" s="38">
        <f t="shared" si="93"/>
        <v>0</v>
      </c>
      <c r="AD76" s="38">
        <f t="shared" si="94"/>
        <v>0</v>
      </c>
      <c r="AE76" s="38">
        <f t="shared" si="95"/>
        <v>0</v>
      </c>
      <c r="AF76" s="38">
        <f t="shared" si="96"/>
        <v>0</v>
      </c>
      <c r="AG76" s="38">
        <f t="shared" si="97"/>
        <v>0</v>
      </c>
      <c r="AH76" s="38">
        <f t="shared" si="98"/>
        <v>0</v>
      </c>
      <c r="AI76" s="37"/>
      <c r="AJ76" s="20">
        <f t="shared" si="99"/>
        <v>0</v>
      </c>
      <c r="AK76" s="20">
        <f t="shared" si="100"/>
        <v>0</v>
      </c>
      <c r="AL76" s="20">
        <f t="shared" si="101"/>
        <v>0</v>
      </c>
      <c r="AN76" s="38">
        <v>21</v>
      </c>
      <c r="AO76" s="38">
        <f>I76*0.374804935760799</f>
        <v>0</v>
      </c>
      <c r="AP76" s="38">
        <f>I76*(1-0.374804935760799)</f>
        <v>0</v>
      </c>
      <c r="AQ76" s="39" t="s">
        <v>13</v>
      </c>
      <c r="AV76" s="38">
        <f t="shared" si="102"/>
        <v>0</v>
      </c>
      <c r="AW76" s="38">
        <f t="shared" si="103"/>
        <v>0</v>
      </c>
      <c r="AX76" s="38">
        <f t="shared" si="104"/>
        <v>0</v>
      </c>
      <c r="AY76" s="41" t="s">
        <v>304</v>
      </c>
      <c r="AZ76" s="41" t="s">
        <v>318</v>
      </c>
      <c r="BA76" s="37" t="s">
        <v>320</v>
      </c>
      <c r="BC76" s="38">
        <f t="shared" si="105"/>
        <v>0</v>
      </c>
      <c r="BD76" s="38">
        <f t="shared" si="106"/>
        <v>0</v>
      </c>
      <c r="BE76" s="38">
        <v>0</v>
      </c>
      <c r="BF76" s="38">
        <f>76</f>
        <v>76</v>
      </c>
      <c r="BH76" s="20">
        <f t="shared" si="107"/>
        <v>0</v>
      </c>
      <c r="BI76" s="20">
        <f t="shared" si="108"/>
        <v>0</v>
      </c>
      <c r="BJ76" s="20">
        <f t="shared" si="109"/>
        <v>0</v>
      </c>
      <c r="BK76" s="20" t="s">
        <v>325</v>
      </c>
      <c r="BL76" s="38">
        <v>781</v>
      </c>
    </row>
    <row r="77" spans="1:64" ht="12.75">
      <c r="A77" s="6" t="s">
        <v>61</v>
      </c>
      <c r="B77" s="15" t="s">
        <v>130</v>
      </c>
      <c r="C77" s="125" t="s">
        <v>218</v>
      </c>
      <c r="D77" s="126"/>
      <c r="E77" s="126"/>
      <c r="F77" s="126"/>
      <c r="G77" s="15" t="s">
        <v>267</v>
      </c>
      <c r="H77" s="21">
        <v>45</v>
      </c>
      <c r="I77" s="21">
        <v>0</v>
      </c>
      <c r="J77" s="21">
        <f t="shared" si="88"/>
        <v>0</v>
      </c>
      <c r="K77" s="21">
        <f t="shared" si="89"/>
        <v>0</v>
      </c>
      <c r="L77" s="21">
        <f t="shared" si="90"/>
        <v>0</v>
      </c>
      <c r="M77" s="33" t="s">
        <v>284</v>
      </c>
      <c r="N77" s="35"/>
      <c r="Z77" s="38">
        <f t="shared" si="91"/>
        <v>0</v>
      </c>
      <c r="AB77" s="38">
        <f t="shared" si="92"/>
        <v>0</v>
      </c>
      <c r="AC77" s="38">
        <f t="shared" si="93"/>
        <v>0</v>
      </c>
      <c r="AD77" s="38">
        <f t="shared" si="94"/>
        <v>0</v>
      </c>
      <c r="AE77" s="38">
        <f t="shared" si="95"/>
        <v>0</v>
      </c>
      <c r="AF77" s="38">
        <f t="shared" si="96"/>
        <v>0</v>
      </c>
      <c r="AG77" s="38">
        <f t="shared" si="97"/>
        <v>0</v>
      </c>
      <c r="AH77" s="38">
        <f t="shared" si="98"/>
        <v>0</v>
      </c>
      <c r="AI77" s="37"/>
      <c r="AJ77" s="21">
        <f t="shared" si="99"/>
        <v>0</v>
      </c>
      <c r="AK77" s="21">
        <f t="shared" si="100"/>
        <v>0</v>
      </c>
      <c r="AL77" s="21">
        <f t="shared" si="101"/>
        <v>0</v>
      </c>
      <c r="AN77" s="38">
        <v>21</v>
      </c>
      <c r="AO77" s="38">
        <f>I77*1</f>
        <v>0</v>
      </c>
      <c r="AP77" s="38">
        <f>I77*(1-1)</f>
        <v>0</v>
      </c>
      <c r="AQ77" s="40" t="s">
        <v>13</v>
      </c>
      <c r="AV77" s="38">
        <f t="shared" si="102"/>
        <v>0</v>
      </c>
      <c r="AW77" s="38">
        <f t="shared" si="103"/>
        <v>0</v>
      </c>
      <c r="AX77" s="38">
        <f t="shared" si="104"/>
        <v>0</v>
      </c>
      <c r="AY77" s="41" t="s">
        <v>304</v>
      </c>
      <c r="AZ77" s="41" t="s">
        <v>318</v>
      </c>
      <c r="BA77" s="37" t="s">
        <v>320</v>
      </c>
      <c r="BC77" s="38">
        <f t="shared" si="105"/>
        <v>0</v>
      </c>
      <c r="BD77" s="38">
        <f t="shared" si="106"/>
        <v>0</v>
      </c>
      <c r="BE77" s="38">
        <v>0</v>
      </c>
      <c r="BF77" s="38">
        <f>77</f>
        <v>77</v>
      </c>
      <c r="BH77" s="21">
        <f t="shared" si="107"/>
        <v>0</v>
      </c>
      <c r="BI77" s="21">
        <f t="shared" si="108"/>
        <v>0</v>
      </c>
      <c r="BJ77" s="21">
        <f t="shared" si="109"/>
        <v>0</v>
      </c>
      <c r="BK77" s="21" t="s">
        <v>326</v>
      </c>
      <c r="BL77" s="38">
        <v>781</v>
      </c>
    </row>
    <row r="78" spans="1:64" ht="12.75">
      <c r="A78" s="4" t="s">
        <v>62</v>
      </c>
      <c r="B78" s="13" t="s">
        <v>132</v>
      </c>
      <c r="C78" s="121" t="s">
        <v>231</v>
      </c>
      <c r="D78" s="122"/>
      <c r="E78" s="122"/>
      <c r="F78" s="122"/>
      <c r="G78" s="13" t="s">
        <v>265</v>
      </c>
      <c r="H78" s="20">
        <v>44.064</v>
      </c>
      <c r="I78" s="20">
        <v>0</v>
      </c>
      <c r="J78" s="20">
        <f t="shared" si="88"/>
        <v>0</v>
      </c>
      <c r="K78" s="20">
        <f t="shared" si="89"/>
        <v>0</v>
      </c>
      <c r="L78" s="20">
        <f t="shared" si="90"/>
        <v>0</v>
      </c>
      <c r="M78" s="31" t="s">
        <v>284</v>
      </c>
      <c r="N78" s="35"/>
      <c r="Z78" s="38">
        <f t="shared" si="91"/>
        <v>0</v>
      </c>
      <c r="AB78" s="38">
        <f t="shared" si="92"/>
        <v>0</v>
      </c>
      <c r="AC78" s="38">
        <f t="shared" si="93"/>
        <v>0</v>
      </c>
      <c r="AD78" s="38">
        <f t="shared" si="94"/>
        <v>0</v>
      </c>
      <c r="AE78" s="38">
        <f t="shared" si="95"/>
        <v>0</v>
      </c>
      <c r="AF78" s="38">
        <f t="shared" si="96"/>
        <v>0</v>
      </c>
      <c r="AG78" s="38">
        <f t="shared" si="97"/>
        <v>0</v>
      </c>
      <c r="AH78" s="38">
        <f t="shared" si="98"/>
        <v>0</v>
      </c>
      <c r="AI78" s="37"/>
      <c r="AJ78" s="20">
        <f t="shared" si="99"/>
        <v>0</v>
      </c>
      <c r="AK78" s="20">
        <f t="shared" si="100"/>
        <v>0</v>
      </c>
      <c r="AL78" s="20">
        <f t="shared" si="101"/>
        <v>0</v>
      </c>
      <c r="AN78" s="38">
        <v>21</v>
      </c>
      <c r="AO78" s="38">
        <f>I78*0.999998581610581</f>
        <v>0</v>
      </c>
      <c r="AP78" s="38">
        <f>I78*(1-0.999998581610581)</f>
        <v>0</v>
      </c>
      <c r="AQ78" s="39" t="s">
        <v>13</v>
      </c>
      <c r="AV78" s="38">
        <f t="shared" si="102"/>
        <v>0</v>
      </c>
      <c r="AW78" s="38">
        <f t="shared" si="103"/>
        <v>0</v>
      </c>
      <c r="AX78" s="38">
        <f t="shared" si="104"/>
        <v>0</v>
      </c>
      <c r="AY78" s="41" t="s">
        <v>304</v>
      </c>
      <c r="AZ78" s="41" t="s">
        <v>318</v>
      </c>
      <c r="BA78" s="37" t="s">
        <v>320</v>
      </c>
      <c r="BC78" s="38">
        <f t="shared" si="105"/>
        <v>0</v>
      </c>
      <c r="BD78" s="38">
        <f t="shared" si="106"/>
        <v>0</v>
      </c>
      <c r="BE78" s="38">
        <v>0</v>
      </c>
      <c r="BF78" s="38">
        <f>78</f>
        <v>78</v>
      </c>
      <c r="BH78" s="20">
        <f t="shared" si="107"/>
        <v>0</v>
      </c>
      <c r="BI78" s="20">
        <f t="shared" si="108"/>
        <v>0</v>
      </c>
      <c r="BJ78" s="20">
        <f t="shared" si="109"/>
        <v>0</v>
      </c>
      <c r="BK78" s="20" t="s">
        <v>325</v>
      </c>
      <c r="BL78" s="38">
        <v>781</v>
      </c>
    </row>
    <row r="79" spans="1:47" ht="12.75">
      <c r="A79" s="5"/>
      <c r="B79" s="14" t="s">
        <v>141</v>
      </c>
      <c r="C79" s="123" t="s">
        <v>232</v>
      </c>
      <c r="D79" s="124"/>
      <c r="E79" s="124"/>
      <c r="F79" s="124"/>
      <c r="G79" s="18" t="s">
        <v>6</v>
      </c>
      <c r="H79" s="18" t="s">
        <v>6</v>
      </c>
      <c r="I79" s="18" t="s">
        <v>6</v>
      </c>
      <c r="J79" s="44">
        <f>SUM(J80:J80)</f>
        <v>0</v>
      </c>
      <c r="K79" s="44">
        <f>SUM(K80:K80)</f>
        <v>0</v>
      </c>
      <c r="L79" s="44">
        <f>SUM(L80:L80)</f>
        <v>0</v>
      </c>
      <c r="M79" s="32"/>
      <c r="N79" s="35"/>
      <c r="AI79" s="37"/>
      <c r="AS79" s="44">
        <f>SUM(AJ80:AJ80)</f>
        <v>0</v>
      </c>
      <c r="AT79" s="44">
        <f>SUM(AK80:AK80)</f>
        <v>0</v>
      </c>
      <c r="AU79" s="44">
        <f>SUM(AL80:AL80)</f>
        <v>0</v>
      </c>
    </row>
    <row r="80" spans="1:64" ht="12.75">
      <c r="A80" s="4" t="s">
        <v>63</v>
      </c>
      <c r="B80" s="13" t="s">
        <v>142</v>
      </c>
      <c r="C80" s="121" t="s">
        <v>233</v>
      </c>
      <c r="D80" s="122"/>
      <c r="E80" s="122"/>
      <c r="F80" s="122"/>
      <c r="G80" s="13" t="s">
        <v>265</v>
      </c>
      <c r="H80" s="20">
        <v>3</v>
      </c>
      <c r="I80" s="20">
        <v>0</v>
      </c>
      <c r="J80" s="20">
        <f>H80*AO80</f>
        <v>0</v>
      </c>
      <c r="K80" s="20">
        <f>H80*AP80</f>
        <v>0</v>
      </c>
      <c r="L80" s="20">
        <f>H80*I80</f>
        <v>0</v>
      </c>
      <c r="M80" s="31" t="s">
        <v>284</v>
      </c>
      <c r="N80" s="35"/>
      <c r="Z80" s="38">
        <f>IF(AQ80="5",BJ80,0)</f>
        <v>0</v>
      </c>
      <c r="AB80" s="38">
        <f>IF(AQ80="1",BH80,0)</f>
        <v>0</v>
      </c>
      <c r="AC80" s="38">
        <f>IF(AQ80="1",BI80,0)</f>
        <v>0</v>
      </c>
      <c r="AD80" s="38">
        <f>IF(AQ80="7",BH80,0)</f>
        <v>0</v>
      </c>
      <c r="AE80" s="38">
        <f>IF(AQ80="7",BI80,0)</f>
        <v>0</v>
      </c>
      <c r="AF80" s="38">
        <f>IF(AQ80="2",BH80,0)</f>
        <v>0</v>
      </c>
      <c r="AG80" s="38">
        <f>IF(AQ80="2",BI80,0)</f>
        <v>0</v>
      </c>
      <c r="AH80" s="38">
        <f>IF(AQ80="0",BJ80,0)</f>
        <v>0</v>
      </c>
      <c r="AI80" s="37"/>
      <c r="AJ80" s="20">
        <f>IF(AN80=0,L80,0)</f>
        <v>0</v>
      </c>
      <c r="AK80" s="20">
        <f>IF(AN80=15,L80,0)</f>
        <v>0</v>
      </c>
      <c r="AL80" s="20">
        <f>IF(AN80=21,L80,0)</f>
        <v>0</v>
      </c>
      <c r="AN80" s="38">
        <v>21</v>
      </c>
      <c r="AO80" s="38">
        <f>I80*0.348243030344544</f>
        <v>0</v>
      </c>
      <c r="AP80" s="38">
        <f>I80*(1-0.348243030344544)</f>
        <v>0</v>
      </c>
      <c r="AQ80" s="39" t="s">
        <v>7</v>
      </c>
      <c r="AV80" s="38">
        <f>AW80+AX80</f>
        <v>0</v>
      </c>
      <c r="AW80" s="38">
        <f>H80*AO80</f>
        <v>0</v>
      </c>
      <c r="AX80" s="38">
        <f>H80*AP80</f>
        <v>0</v>
      </c>
      <c r="AY80" s="41" t="s">
        <v>305</v>
      </c>
      <c r="AZ80" s="41" t="s">
        <v>319</v>
      </c>
      <c r="BA80" s="37" t="s">
        <v>320</v>
      </c>
      <c r="BC80" s="38">
        <f>AW80+AX80</f>
        <v>0</v>
      </c>
      <c r="BD80" s="38">
        <f>I80/(100-BE80)*100</f>
        <v>0</v>
      </c>
      <c r="BE80" s="38">
        <v>0</v>
      </c>
      <c r="BF80" s="38">
        <f>80</f>
        <v>80</v>
      </c>
      <c r="BH80" s="20">
        <f>H80*AO80</f>
        <v>0</v>
      </c>
      <c r="BI80" s="20">
        <f>H80*AP80</f>
        <v>0</v>
      </c>
      <c r="BJ80" s="20">
        <f>H80*I80</f>
        <v>0</v>
      </c>
      <c r="BK80" s="20" t="s">
        <v>325</v>
      </c>
      <c r="BL80" s="38">
        <v>94</v>
      </c>
    </row>
    <row r="81" spans="1:47" ht="12.75">
      <c r="A81" s="5"/>
      <c r="B81" s="14" t="s">
        <v>143</v>
      </c>
      <c r="C81" s="123" t="s">
        <v>234</v>
      </c>
      <c r="D81" s="124"/>
      <c r="E81" s="124"/>
      <c r="F81" s="124"/>
      <c r="G81" s="18" t="s">
        <v>6</v>
      </c>
      <c r="H81" s="18" t="s">
        <v>6</v>
      </c>
      <c r="I81" s="18" t="s">
        <v>6</v>
      </c>
      <c r="J81" s="44">
        <f>SUM(J82:J83)</f>
        <v>0</v>
      </c>
      <c r="K81" s="44">
        <f>SUM(K82:K83)</f>
        <v>0</v>
      </c>
      <c r="L81" s="44">
        <f>SUM(L82:L83)</f>
        <v>0</v>
      </c>
      <c r="M81" s="32"/>
      <c r="N81" s="35"/>
      <c r="AI81" s="37"/>
      <c r="AS81" s="44">
        <f>SUM(AJ82:AJ83)</f>
        <v>0</v>
      </c>
      <c r="AT81" s="44">
        <f>SUM(AK82:AK83)</f>
        <v>0</v>
      </c>
      <c r="AU81" s="44">
        <f>SUM(AL82:AL83)</f>
        <v>0</v>
      </c>
    </row>
    <row r="82" spans="1:64" ht="12.75">
      <c r="A82" s="4" t="s">
        <v>64</v>
      </c>
      <c r="B82" s="13" t="s">
        <v>144</v>
      </c>
      <c r="C82" s="121" t="s">
        <v>235</v>
      </c>
      <c r="D82" s="122"/>
      <c r="E82" s="122"/>
      <c r="F82" s="122"/>
      <c r="G82" s="13" t="s">
        <v>265</v>
      </c>
      <c r="H82" s="20">
        <v>38.96</v>
      </c>
      <c r="I82" s="20">
        <v>0</v>
      </c>
      <c r="J82" s="20">
        <f>H82*AO82</f>
        <v>0</v>
      </c>
      <c r="K82" s="20">
        <f>H82*AP82</f>
        <v>0</v>
      </c>
      <c r="L82" s="20">
        <f>H82*I82</f>
        <v>0</v>
      </c>
      <c r="M82" s="31" t="s">
        <v>284</v>
      </c>
      <c r="N82" s="35"/>
      <c r="Z82" s="38">
        <f>IF(AQ82="5",BJ82,0)</f>
        <v>0</v>
      </c>
      <c r="AB82" s="38">
        <f>IF(AQ82="1",BH82,0)</f>
        <v>0</v>
      </c>
      <c r="AC82" s="38">
        <f>IF(AQ82="1",BI82,0)</f>
        <v>0</v>
      </c>
      <c r="AD82" s="38">
        <f>IF(AQ82="7",BH82,0)</f>
        <v>0</v>
      </c>
      <c r="AE82" s="38">
        <f>IF(AQ82="7",BI82,0)</f>
        <v>0</v>
      </c>
      <c r="AF82" s="38">
        <f>IF(AQ82="2",BH82,0)</f>
        <v>0</v>
      </c>
      <c r="AG82" s="38">
        <f>IF(AQ82="2",BI82,0)</f>
        <v>0</v>
      </c>
      <c r="AH82" s="38">
        <f>IF(AQ82="0",BJ82,0)</f>
        <v>0</v>
      </c>
      <c r="AI82" s="37"/>
      <c r="AJ82" s="20">
        <f>IF(AN82=0,L82,0)</f>
        <v>0</v>
      </c>
      <c r="AK82" s="20">
        <f>IF(AN82=15,L82,0)</f>
        <v>0</v>
      </c>
      <c r="AL82" s="20">
        <f>IF(AN82=21,L82,0)</f>
        <v>0</v>
      </c>
      <c r="AN82" s="38">
        <v>21</v>
      </c>
      <c r="AO82" s="38">
        <f>I82*0.012078431372549</f>
        <v>0</v>
      </c>
      <c r="AP82" s="38">
        <f>I82*(1-0.012078431372549)</f>
        <v>0</v>
      </c>
      <c r="AQ82" s="39" t="s">
        <v>7</v>
      </c>
      <c r="AV82" s="38">
        <f>AW82+AX82</f>
        <v>0</v>
      </c>
      <c r="AW82" s="38">
        <f>H82*AO82</f>
        <v>0</v>
      </c>
      <c r="AX82" s="38">
        <f>H82*AP82</f>
        <v>0</v>
      </c>
      <c r="AY82" s="41" t="s">
        <v>306</v>
      </c>
      <c r="AZ82" s="41" t="s">
        <v>319</v>
      </c>
      <c r="BA82" s="37" t="s">
        <v>320</v>
      </c>
      <c r="BC82" s="38">
        <f>AW82+AX82</f>
        <v>0</v>
      </c>
      <c r="BD82" s="38">
        <f>I82/(100-BE82)*100</f>
        <v>0</v>
      </c>
      <c r="BE82" s="38">
        <v>0</v>
      </c>
      <c r="BF82" s="38">
        <f>82</f>
        <v>82</v>
      </c>
      <c r="BH82" s="20">
        <f>H82*AO82</f>
        <v>0</v>
      </c>
      <c r="BI82" s="20">
        <f>H82*AP82</f>
        <v>0</v>
      </c>
      <c r="BJ82" s="20">
        <f>H82*I82</f>
        <v>0</v>
      </c>
      <c r="BK82" s="20" t="s">
        <v>325</v>
      </c>
      <c r="BL82" s="38">
        <v>95</v>
      </c>
    </row>
    <row r="83" spans="1:64" ht="12.75">
      <c r="A83" s="4" t="s">
        <v>65</v>
      </c>
      <c r="B83" s="13" t="s">
        <v>144</v>
      </c>
      <c r="C83" s="121" t="s">
        <v>236</v>
      </c>
      <c r="D83" s="122"/>
      <c r="E83" s="122"/>
      <c r="F83" s="122"/>
      <c r="G83" s="13" t="s">
        <v>265</v>
      </c>
      <c r="H83" s="20">
        <v>38.96</v>
      </c>
      <c r="I83" s="20">
        <v>0</v>
      </c>
      <c r="J83" s="20">
        <f>H83*AO83</f>
        <v>0</v>
      </c>
      <c r="K83" s="20">
        <f>H83*AP83</f>
        <v>0</v>
      </c>
      <c r="L83" s="20">
        <f>H83*I83</f>
        <v>0</v>
      </c>
      <c r="M83" s="31" t="s">
        <v>284</v>
      </c>
      <c r="N83" s="35"/>
      <c r="Z83" s="38">
        <f>IF(AQ83="5",BJ83,0)</f>
        <v>0</v>
      </c>
      <c r="AB83" s="38">
        <f>IF(AQ83="1",BH83,0)</f>
        <v>0</v>
      </c>
      <c r="AC83" s="38">
        <f>IF(AQ83="1",BI83,0)</f>
        <v>0</v>
      </c>
      <c r="AD83" s="38">
        <f>IF(AQ83="7",BH83,0)</f>
        <v>0</v>
      </c>
      <c r="AE83" s="38">
        <f>IF(AQ83="7",BI83,0)</f>
        <v>0</v>
      </c>
      <c r="AF83" s="38">
        <f>IF(AQ83="2",BH83,0)</f>
        <v>0</v>
      </c>
      <c r="AG83" s="38">
        <f>IF(AQ83="2",BI83,0)</f>
        <v>0</v>
      </c>
      <c r="AH83" s="38">
        <f>IF(AQ83="0",BJ83,0)</f>
        <v>0</v>
      </c>
      <c r="AI83" s="37"/>
      <c r="AJ83" s="20">
        <f>IF(AN83=0,L83,0)</f>
        <v>0</v>
      </c>
      <c r="AK83" s="20">
        <f>IF(AN83=15,L83,0)</f>
        <v>0</v>
      </c>
      <c r="AL83" s="20">
        <f>IF(AN83=21,L83,0)</f>
        <v>0</v>
      </c>
      <c r="AN83" s="38">
        <v>21</v>
      </c>
      <c r="AO83" s="38">
        <f>I83*0.012078431372549</f>
        <v>0</v>
      </c>
      <c r="AP83" s="38">
        <f>I83*(1-0.012078431372549)</f>
        <v>0</v>
      </c>
      <c r="AQ83" s="39" t="s">
        <v>7</v>
      </c>
      <c r="AV83" s="38">
        <f>AW83+AX83</f>
        <v>0</v>
      </c>
      <c r="AW83" s="38">
        <f>H83*AO83</f>
        <v>0</v>
      </c>
      <c r="AX83" s="38">
        <f>H83*AP83</f>
        <v>0</v>
      </c>
      <c r="AY83" s="41" t="s">
        <v>306</v>
      </c>
      <c r="AZ83" s="41" t="s">
        <v>319</v>
      </c>
      <c r="BA83" s="37" t="s">
        <v>320</v>
      </c>
      <c r="BC83" s="38">
        <f>AW83+AX83</f>
        <v>0</v>
      </c>
      <c r="BD83" s="38">
        <f>I83/(100-BE83)*100</f>
        <v>0</v>
      </c>
      <c r="BE83" s="38">
        <v>0</v>
      </c>
      <c r="BF83" s="38">
        <f>83</f>
        <v>83</v>
      </c>
      <c r="BH83" s="20">
        <f>H83*AO83</f>
        <v>0</v>
      </c>
      <c r="BI83" s="20">
        <f>H83*AP83</f>
        <v>0</v>
      </c>
      <c r="BJ83" s="20">
        <f>H83*I83</f>
        <v>0</v>
      </c>
      <c r="BK83" s="20" t="s">
        <v>325</v>
      </c>
      <c r="BL83" s="38">
        <v>95</v>
      </c>
    </row>
    <row r="84" spans="1:47" ht="12.75">
      <c r="A84" s="5"/>
      <c r="B84" s="14" t="s">
        <v>145</v>
      </c>
      <c r="C84" s="123" t="s">
        <v>237</v>
      </c>
      <c r="D84" s="124"/>
      <c r="E84" s="124"/>
      <c r="F84" s="124"/>
      <c r="G84" s="18" t="s">
        <v>6</v>
      </c>
      <c r="H84" s="18" t="s">
        <v>6</v>
      </c>
      <c r="I84" s="18" t="s">
        <v>6</v>
      </c>
      <c r="J84" s="44">
        <f>SUM(J85:J87)</f>
        <v>0</v>
      </c>
      <c r="K84" s="44">
        <f>SUM(K85:K87)</f>
        <v>0</v>
      </c>
      <c r="L84" s="44">
        <f>SUM(L85:L87)</f>
        <v>0</v>
      </c>
      <c r="M84" s="32"/>
      <c r="N84" s="35"/>
      <c r="AI84" s="37"/>
      <c r="AS84" s="44">
        <f>SUM(AJ85:AJ87)</f>
        <v>0</v>
      </c>
      <c r="AT84" s="44">
        <f>SUM(AK85:AK87)</f>
        <v>0</v>
      </c>
      <c r="AU84" s="44">
        <f>SUM(AL85:AL87)</f>
        <v>0</v>
      </c>
    </row>
    <row r="85" spans="1:64" ht="12.75">
      <c r="A85" s="4" t="s">
        <v>66</v>
      </c>
      <c r="B85" s="13" t="s">
        <v>146</v>
      </c>
      <c r="C85" s="121" t="s">
        <v>238</v>
      </c>
      <c r="D85" s="122"/>
      <c r="E85" s="122"/>
      <c r="F85" s="122"/>
      <c r="G85" s="13" t="s">
        <v>266</v>
      </c>
      <c r="H85" s="20">
        <v>4</v>
      </c>
      <c r="I85" s="20">
        <v>0</v>
      </c>
      <c r="J85" s="20">
        <f>H85*AO85</f>
        <v>0</v>
      </c>
      <c r="K85" s="20">
        <f>H85*AP85</f>
        <v>0</v>
      </c>
      <c r="L85" s="20">
        <f>H85*I85</f>
        <v>0</v>
      </c>
      <c r="M85" s="31" t="s">
        <v>284</v>
      </c>
      <c r="N85" s="35"/>
      <c r="Z85" s="38">
        <f>IF(AQ85="5",BJ85,0)</f>
        <v>0</v>
      </c>
      <c r="AB85" s="38">
        <f>IF(AQ85="1",BH85,0)</f>
        <v>0</v>
      </c>
      <c r="AC85" s="38">
        <f>IF(AQ85="1",BI85,0)</f>
        <v>0</v>
      </c>
      <c r="AD85" s="38">
        <f>IF(AQ85="7",BH85,0)</f>
        <v>0</v>
      </c>
      <c r="AE85" s="38">
        <f>IF(AQ85="7",BI85,0)</f>
        <v>0</v>
      </c>
      <c r="AF85" s="38">
        <f>IF(AQ85="2",BH85,0)</f>
        <v>0</v>
      </c>
      <c r="AG85" s="38">
        <f>IF(AQ85="2",BI85,0)</f>
        <v>0</v>
      </c>
      <c r="AH85" s="38">
        <f>IF(AQ85="0",BJ85,0)</f>
        <v>0</v>
      </c>
      <c r="AI85" s="37"/>
      <c r="AJ85" s="20">
        <f>IF(AN85=0,L85,0)</f>
        <v>0</v>
      </c>
      <c r="AK85" s="20">
        <f>IF(AN85=15,L85,0)</f>
        <v>0</v>
      </c>
      <c r="AL85" s="20">
        <f>IF(AN85=21,L85,0)</f>
        <v>0</v>
      </c>
      <c r="AN85" s="38">
        <v>21</v>
      </c>
      <c r="AO85" s="38">
        <f>I85*0</f>
        <v>0</v>
      </c>
      <c r="AP85" s="38">
        <f>I85*(1-0)</f>
        <v>0</v>
      </c>
      <c r="AQ85" s="39" t="s">
        <v>7</v>
      </c>
      <c r="AV85" s="38">
        <f>AW85+AX85</f>
        <v>0</v>
      </c>
      <c r="AW85" s="38">
        <f>H85*AO85</f>
        <v>0</v>
      </c>
      <c r="AX85" s="38">
        <f>H85*AP85</f>
        <v>0</v>
      </c>
      <c r="AY85" s="41" t="s">
        <v>307</v>
      </c>
      <c r="AZ85" s="41" t="s">
        <v>319</v>
      </c>
      <c r="BA85" s="37" t="s">
        <v>320</v>
      </c>
      <c r="BC85" s="38">
        <f>AW85+AX85</f>
        <v>0</v>
      </c>
      <c r="BD85" s="38">
        <f>I85/(100-BE85)*100</f>
        <v>0</v>
      </c>
      <c r="BE85" s="38">
        <v>0</v>
      </c>
      <c r="BF85" s="38">
        <f>85</f>
        <v>85</v>
      </c>
      <c r="BH85" s="20">
        <f>H85*AO85</f>
        <v>0</v>
      </c>
      <c r="BI85" s="20">
        <f>H85*AP85</f>
        <v>0</v>
      </c>
      <c r="BJ85" s="20">
        <f>H85*I85</f>
        <v>0</v>
      </c>
      <c r="BK85" s="20" t="s">
        <v>325</v>
      </c>
      <c r="BL85" s="38">
        <v>96</v>
      </c>
    </row>
    <row r="86" spans="1:64" ht="12.75">
      <c r="A86" s="4" t="s">
        <v>67</v>
      </c>
      <c r="B86" s="13" t="s">
        <v>147</v>
      </c>
      <c r="C86" s="121" t="s">
        <v>239</v>
      </c>
      <c r="D86" s="122"/>
      <c r="E86" s="122"/>
      <c r="F86" s="122"/>
      <c r="G86" s="13" t="s">
        <v>265</v>
      </c>
      <c r="H86" s="20">
        <v>5.6</v>
      </c>
      <c r="I86" s="20">
        <v>0</v>
      </c>
      <c r="J86" s="20">
        <f>H86*AO86</f>
        <v>0</v>
      </c>
      <c r="K86" s="20">
        <f>H86*AP86</f>
        <v>0</v>
      </c>
      <c r="L86" s="20">
        <f>H86*I86</f>
        <v>0</v>
      </c>
      <c r="M86" s="31" t="s">
        <v>284</v>
      </c>
      <c r="N86" s="35"/>
      <c r="Z86" s="38">
        <f>IF(AQ86="5",BJ86,0)</f>
        <v>0</v>
      </c>
      <c r="AB86" s="38">
        <f>IF(AQ86="1",BH86,0)</f>
        <v>0</v>
      </c>
      <c r="AC86" s="38">
        <f>IF(AQ86="1",BI86,0)</f>
        <v>0</v>
      </c>
      <c r="AD86" s="38">
        <f>IF(AQ86="7",BH86,0)</f>
        <v>0</v>
      </c>
      <c r="AE86" s="38">
        <f>IF(AQ86="7",BI86,0)</f>
        <v>0</v>
      </c>
      <c r="AF86" s="38">
        <f>IF(AQ86="2",BH86,0)</f>
        <v>0</v>
      </c>
      <c r="AG86" s="38">
        <f>IF(AQ86="2",BI86,0)</f>
        <v>0</v>
      </c>
      <c r="AH86" s="38">
        <f>IF(AQ86="0",BJ86,0)</f>
        <v>0</v>
      </c>
      <c r="AI86" s="37"/>
      <c r="AJ86" s="20">
        <f>IF(AN86=0,L86,0)</f>
        <v>0</v>
      </c>
      <c r="AK86" s="20">
        <f>IF(AN86=15,L86,0)</f>
        <v>0</v>
      </c>
      <c r="AL86" s="20">
        <f>IF(AN86=21,L86,0)</f>
        <v>0</v>
      </c>
      <c r="AN86" s="38">
        <v>21</v>
      </c>
      <c r="AO86" s="38">
        <f>I86*0.0757369062119367</f>
        <v>0</v>
      </c>
      <c r="AP86" s="38">
        <f>I86*(1-0.0757369062119367)</f>
        <v>0</v>
      </c>
      <c r="AQ86" s="39" t="s">
        <v>7</v>
      </c>
      <c r="AV86" s="38">
        <f>AW86+AX86</f>
        <v>0</v>
      </c>
      <c r="AW86" s="38">
        <f>H86*AO86</f>
        <v>0</v>
      </c>
      <c r="AX86" s="38">
        <f>H86*AP86</f>
        <v>0</v>
      </c>
      <c r="AY86" s="41" t="s">
        <v>307</v>
      </c>
      <c r="AZ86" s="41" t="s">
        <v>319</v>
      </c>
      <c r="BA86" s="37" t="s">
        <v>320</v>
      </c>
      <c r="BC86" s="38">
        <f>AW86+AX86</f>
        <v>0</v>
      </c>
      <c r="BD86" s="38">
        <f>I86/(100-BE86)*100</f>
        <v>0</v>
      </c>
      <c r="BE86" s="38">
        <v>0</v>
      </c>
      <c r="BF86" s="38">
        <f>86</f>
        <v>86</v>
      </c>
      <c r="BH86" s="20">
        <f>H86*AO86</f>
        <v>0</v>
      </c>
      <c r="BI86" s="20">
        <f>H86*AP86</f>
        <v>0</v>
      </c>
      <c r="BJ86" s="20">
        <f>H86*I86</f>
        <v>0</v>
      </c>
      <c r="BK86" s="20" t="s">
        <v>325</v>
      </c>
      <c r="BL86" s="38">
        <v>96</v>
      </c>
    </row>
    <row r="87" spans="1:64" ht="12.75">
      <c r="A87" s="4" t="s">
        <v>68</v>
      </c>
      <c r="B87" s="13" t="s">
        <v>148</v>
      </c>
      <c r="C87" s="121" t="s">
        <v>240</v>
      </c>
      <c r="D87" s="122"/>
      <c r="E87" s="122"/>
      <c r="F87" s="122"/>
      <c r="G87" s="13" t="s">
        <v>265</v>
      </c>
      <c r="H87" s="20">
        <v>11.0317</v>
      </c>
      <c r="I87" s="20">
        <v>0</v>
      </c>
      <c r="J87" s="20">
        <f>H87*AO87</f>
        <v>0</v>
      </c>
      <c r="K87" s="20">
        <f>H87*AP87</f>
        <v>0</v>
      </c>
      <c r="L87" s="20">
        <f>H87*I87</f>
        <v>0</v>
      </c>
      <c r="M87" s="31" t="s">
        <v>284</v>
      </c>
      <c r="N87" s="35"/>
      <c r="Z87" s="38">
        <f>IF(AQ87="5",BJ87,0)</f>
        <v>0</v>
      </c>
      <c r="AB87" s="38">
        <f>IF(AQ87="1",BH87,0)</f>
        <v>0</v>
      </c>
      <c r="AC87" s="38">
        <f>IF(AQ87="1",BI87,0)</f>
        <v>0</v>
      </c>
      <c r="AD87" s="38">
        <f>IF(AQ87="7",BH87,0)</f>
        <v>0</v>
      </c>
      <c r="AE87" s="38">
        <f>IF(AQ87="7",BI87,0)</f>
        <v>0</v>
      </c>
      <c r="AF87" s="38">
        <f>IF(AQ87="2",BH87,0)</f>
        <v>0</v>
      </c>
      <c r="AG87" s="38">
        <f>IF(AQ87="2",BI87,0)</f>
        <v>0</v>
      </c>
      <c r="AH87" s="38">
        <f>IF(AQ87="0",BJ87,0)</f>
        <v>0</v>
      </c>
      <c r="AI87" s="37"/>
      <c r="AJ87" s="20">
        <f>IF(AN87=0,L87,0)</f>
        <v>0</v>
      </c>
      <c r="AK87" s="20">
        <f>IF(AN87=15,L87,0)</f>
        <v>0</v>
      </c>
      <c r="AL87" s="20">
        <f>IF(AN87=21,L87,0)</f>
        <v>0</v>
      </c>
      <c r="AN87" s="38">
        <v>21</v>
      </c>
      <c r="AO87" s="38">
        <f>I87*0.199100107185513</f>
        <v>0</v>
      </c>
      <c r="AP87" s="38">
        <f>I87*(1-0.199100107185513)</f>
        <v>0</v>
      </c>
      <c r="AQ87" s="39" t="s">
        <v>7</v>
      </c>
      <c r="AV87" s="38">
        <f>AW87+AX87</f>
        <v>0</v>
      </c>
      <c r="AW87" s="38">
        <f>H87*AO87</f>
        <v>0</v>
      </c>
      <c r="AX87" s="38">
        <f>H87*AP87</f>
        <v>0</v>
      </c>
      <c r="AY87" s="41" t="s">
        <v>307</v>
      </c>
      <c r="AZ87" s="41" t="s">
        <v>319</v>
      </c>
      <c r="BA87" s="37" t="s">
        <v>320</v>
      </c>
      <c r="BC87" s="38">
        <f>AW87+AX87</f>
        <v>0</v>
      </c>
      <c r="BD87" s="38">
        <f>I87/(100-BE87)*100</f>
        <v>0</v>
      </c>
      <c r="BE87" s="38">
        <v>0</v>
      </c>
      <c r="BF87" s="38">
        <f>87</f>
        <v>87</v>
      </c>
      <c r="BH87" s="20">
        <f>H87*AO87</f>
        <v>0</v>
      </c>
      <c r="BI87" s="20">
        <f>H87*AP87</f>
        <v>0</v>
      </c>
      <c r="BJ87" s="20">
        <f>H87*I87</f>
        <v>0</v>
      </c>
      <c r="BK87" s="20" t="s">
        <v>325</v>
      </c>
      <c r="BL87" s="38">
        <v>96</v>
      </c>
    </row>
    <row r="88" spans="1:47" ht="12.75">
      <c r="A88" s="5"/>
      <c r="B88" s="14" t="s">
        <v>149</v>
      </c>
      <c r="C88" s="123" t="s">
        <v>241</v>
      </c>
      <c r="D88" s="124"/>
      <c r="E88" s="124"/>
      <c r="F88" s="124"/>
      <c r="G88" s="18" t="s">
        <v>6</v>
      </c>
      <c r="H88" s="18" t="s">
        <v>6</v>
      </c>
      <c r="I88" s="18" t="s">
        <v>6</v>
      </c>
      <c r="J88" s="44">
        <f>SUM(J89:J90)</f>
        <v>0</v>
      </c>
      <c r="K88" s="44">
        <f>SUM(K89:K90)</f>
        <v>0</v>
      </c>
      <c r="L88" s="44">
        <f>SUM(L89:L90)</f>
        <v>0</v>
      </c>
      <c r="M88" s="32"/>
      <c r="N88" s="35"/>
      <c r="AI88" s="37"/>
      <c r="AS88" s="44">
        <f>SUM(AJ89:AJ90)</f>
        <v>0</v>
      </c>
      <c r="AT88" s="44">
        <f>SUM(AK89:AK90)</f>
        <v>0</v>
      </c>
      <c r="AU88" s="44">
        <f>SUM(AL89:AL90)</f>
        <v>0</v>
      </c>
    </row>
    <row r="89" spans="1:64" ht="12.75">
      <c r="A89" s="4" t="s">
        <v>69</v>
      </c>
      <c r="B89" s="13" t="s">
        <v>150</v>
      </c>
      <c r="C89" s="121" t="s">
        <v>242</v>
      </c>
      <c r="D89" s="122"/>
      <c r="E89" s="122"/>
      <c r="F89" s="122"/>
      <c r="G89" s="13" t="s">
        <v>263</v>
      </c>
      <c r="H89" s="20">
        <v>2</v>
      </c>
      <c r="I89" s="20">
        <v>0</v>
      </c>
      <c r="J89" s="20">
        <f>H89*AO89</f>
        <v>0</v>
      </c>
      <c r="K89" s="20">
        <f>H89*AP89</f>
        <v>0</v>
      </c>
      <c r="L89" s="20">
        <f>H89*I89</f>
        <v>0</v>
      </c>
      <c r="M89" s="31" t="s">
        <v>284</v>
      </c>
      <c r="N89" s="35"/>
      <c r="Z89" s="38">
        <f>IF(AQ89="5",BJ89,0)</f>
        <v>0</v>
      </c>
      <c r="AB89" s="38">
        <f>IF(AQ89="1",BH89,0)</f>
        <v>0</v>
      </c>
      <c r="AC89" s="38">
        <f>IF(AQ89="1",BI89,0)</f>
        <v>0</v>
      </c>
      <c r="AD89" s="38">
        <f>IF(AQ89="7",BH89,0)</f>
        <v>0</v>
      </c>
      <c r="AE89" s="38">
        <f>IF(AQ89="7",BI89,0)</f>
        <v>0</v>
      </c>
      <c r="AF89" s="38">
        <f>IF(AQ89="2",BH89,0)</f>
        <v>0</v>
      </c>
      <c r="AG89" s="38">
        <f>IF(AQ89="2",BI89,0)</f>
        <v>0</v>
      </c>
      <c r="AH89" s="38">
        <f>IF(AQ89="0",BJ89,0)</f>
        <v>0</v>
      </c>
      <c r="AI89" s="37"/>
      <c r="AJ89" s="20">
        <f>IF(AN89=0,L89,0)</f>
        <v>0</v>
      </c>
      <c r="AK89" s="20">
        <f>IF(AN89=15,L89,0)</f>
        <v>0</v>
      </c>
      <c r="AL89" s="20">
        <f>IF(AN89=21,L89,0)</f>
        <v>0</v>
      </c>
      <c r="AN89" s="38">
        <v>21</v>
      </c>
      <c r="AO89" s="38">
        <f>I89*0.315366902223071</f>
        <v>0</v>
      </c>
      <c r="AP89" s="38">
        <f>I89*(1-0.315366902223071)</f>
        <v>0</v>
      </c>
      <c r="AQ89" s="39" t="s">
        <v>7</v>
      </c>
      <c r="AV89" s="38">
        <f>AW89+AX89</f>
        <v>0</v>
      </c>
      <c r="AW89" s="38">
        <f>H89*AO89</f>
        <v>0</v>
      </c>
      <c r="AX89" s="38">
        <f>H89*AP89</f>
        <v>0</v>
      </c>
      <c r="AY89" s="41" t="s">
        <v>308</v>
      </c>
      <c r="AZ89" s="41" t="s">
        <v>319</v>
      </c>
      <c r="BA89" s="37" t="s">
        <v>320</v>
      </c>
      <c r="BC89" s="38">
        <f>AW89+AX89</f>
        <v>0</v>
      </c>
      <c r="BD89" s="38">
        <f>I89/(100-BE89)*100</f>
        <v>0</v>
      </c>
      <c r="BE89" s="38">
        <v>0</v>
      </c>
      <c r="BF89" s="38">
        <f>89</f>
        <v>89</v>
      </c>
      <c r="BH89" s="20">
        <f>H89*AO89</f>
        <v>0</v>
      </c>
      <c r="BI89" s="20">
        <f>H89*AP89</f>
        <v>0</v>
      </c>
      <c r="BJ89" s="20">
        <f>H89*I89</f>
        <v>0</v>
      </c>
      <c r="BK89" s="20" t="s">
        <v>325</v>
      </c>
      <c r="BL89" s="38">
        <v>97</v>
      </c>
    </row>
    <row r="90" spans="1:64" ht="12.75">
      <c r="A90" s="4" t="s">
        <v>70</v>
      </c>
      <c r="B90" s="13" t="s">
        <v>151</v>
      </c>
      <c r="C90" s="121" t="s">
        <v>243</v>
      </c>
      <c r="D90" s="122"/>
      <c r="E90" s="122"/>
      <c r="F90" s="122"/>
      <c r="G90" s="13" t="s">
        <v>263</v>
      </c>
      <c r="H90" s="20">
        <v>4</v>
      </c>
      <c r="I90" s="20">
        <v>0</v>
      </c>
      <c r="J90" s="20">
        <f>H90*AO90</f>
        <v>0</v>
      </c>
      <c r="K90" s="20">
        <f>H90*AP90</f>
        <v>0</v>
      </c>
      <c r="L90" s="20">
        <f>H90*I90</f>
        <v>0</v>
      </c>
      <c r="M90" s="31" t="s">
        <v>284</v>
      </c>
      <c r="N90" s="35"/>
      <c r="Z90" s="38">
        <f>IF(AQ90="5",BJ90,0)</f>
        <v>0</v>
      </c>
      <c r="AB90" s="38">
        <f>IF(AQ90="1",BH90,0)</f>
        <v>0</v>
      </c>
      <c r="AC90" s="38">
        <f>IF(AQ90="1",BI90,0)</f>
        <v>0</v>
      </c>
      <c r="AD90" s="38">
        <f>IF(AQ90="7",BH90,0)</f>
        <v>0</v>
      </c>
      <c r="AE90" s="38">
        <f>IF(AQ90="7",BI90,0)</f>
        <v>0</v>
      </c>
      <c r="AF90" s="38">
        <f>IF(AQ90="2",BH90,0)</f>
        <v>0</v>
      </c>
      <c r="AG90" s="38">
        <f>IF(AQ90="2",BI90,0)</f>
        <v>0</v>
      </c>
      <c r="AH90" s="38">
        <f>IF(AQ90="0",BJ90,0)</f>
        <v>0</v>
      </c>
      <c r="AI90" s="37"/>
      <c r="AJ90" s="20">
        <f>IF(AN90=0,L90,0)</f>
        <v>0</v>
      </c>
      <c r="AK90" s="20">
        <f>IF(AN90=15,L90,0)</f>
        <v>0</v>
      </c>
      <c r="AL90" s="20">
        <f>IF(AN90=21,L90,0)</f>
        <v>0</v>
      </c>
      <c r="AN90" s="38">
        <v>21</v>
      </c>
      <c r="AO90" s="38">
        <f>I90*0.32825</f>
        <v>0</v>
      </c>
      <c r="AP90" s="38">
        <f>I90*(1-0.32825)</f>
        <v>0</v>
      </c>
      <c r="AQ90" s="39" t="s">
        <v>7</v>
      </c>
      <c r="AV90" s="38">
        <f>AW90+AX90</f>
        <v>0</v>
      </c>
      <c r="AW90" s="38">
        <f>H90*AO90</f>
        <v>0</v>
      </c>
      <c r="AX90" s="38">
        <f>H90*AP90</f>
        <v>0</v>
      </c>
      <c r="AY90" s="41" t="s">
        <v>308</v>
      </c>
      <c r="AZ90" s="41" t="s">
        <v>319</v>
      </c>
      <c r="BA90" s="37" t="s">
        <v>320</v>
      </c>
      <c r="BC90" s="38">
        <f>AW90+AX90</f>
        <v>0</v>
      </c>
      <c r="BD90" s="38">
        <f>I90/(100-BE90)*100</f>
        <v>0</v>
      </c>
      <c r="BE90" s="38">
        <v>0</v>
      </c>
      <c r="BF90" s="38">
        <f>90</f>
        <v>90</v>
      </c>
      <c r="BH90" s="20">
        <f>H90*AO90</f>
        <v>0</v>
      </c>
      <c r="BI90" s="20">
        <f>H90*AP90</f>
        <v>0</v>
      </c>
      <c r="BJ90" s="20">
        <f>H90*I90</f>
        <v>0</v>
      </c>
      <c r="BK90" s="20" t="s">
        <v>325</v>
      </c>
      <c r="BL90" s="38">
        <v>97</v>
      </c>
    </row>
    <row r="91" spans="1:47" ht="12.75">
      <c r="A91" s="5"/>
      <c r="B91" s="14" t="s">
        <v>152</v>
      </c>
      <c r="C91" s="123" t="s">
        <v>244</v>
      </c>
      <c r="D91" s="124"/>
      <c r="E91" s="124"/>
      <c r="F91" s="124"/>
      <c r="G91" s="18" t="s">
        <v>6</v>
      </c>
      <c r="H91" s="18" t="s">
        <v>6</v>
      </c>
      <c r="I91" s="18" t="s">
        <v>6</v>
      </c>
      <c r="J91" s="44">
        <f>SUM(J92:J97)</f>
        <v>0</v>
      </c>
      <c r="K91" s="44">
        <f>SUM(K92:K97)</f>
        <v>0</v>
      </c>
      <c r="L91" s="44">
        <f>SUM(L92:L97)</f>
        <v>0</v>
      </c>
      <c r="M91" s="32"/>
      <c r="N91" s="35"/>
      <c r="AI91" s="37"/>
      <c r="AS91" s="44">
        <f>SUM(AJ92:AJ97)</f>
        <v>0</v>
      </c>
      <c r="AT91" s="44">
        <f>SUM(AK92:AK97)</f>
        <v>0</v>
      </c>
      <c r="AU91" s="44">
        <f>SUM(AL92:AL97)</f>
        <v>0</v>
      </c>
    </row>
    <row r="92" spans="1:64" ht="12.75">
      <c r="A92" s="4" t="s">
        <v>71</v>
      </c>
      <c r="B92" s="13" t="s">
        <v>153</v>
      </c>
      <c r="C92" s="121" t="s">
        <v>245</v>
      </c>
      <c r="D92" s="122"/>
      <c r="E92" s="122"/>
      <c r="F92" s="122"/>
      <c r="G92" s="13" t="s">
        <v>266</v>
      </c>
      <c r="H92" s="20">
        <v>4</v>
      </c>
      <c r="I92" s="20">
        <v>0</v>
      </c>
      <c r="J92" s="20">
        <f aca="true" t="shared" si="110" ref="J92:J97">H92*AO92</f>
        <v>0</v>
      </c>
      <c r="K92" s="20">
        <f aca="true" t="shared" si="111" ref="K92:K97">H92*AP92</f>
        <v>0</v>
      </c>
      <c r="L92" s="20">
        <f aca="true" t="shared" si="112" ref="L92:L97">H92*I92</f>
        <v>0</v>
      </c>
      <c r="M92" s="31" t="s">
        <v>284</v>
      </c>
      <c r="N92" s="35"/>
      <c r="Z92" s="38">
        <f aca="true" t="shared" si="113" ref="Z92:Z97">IF(AQ92="5",BJ92,0)</f>
        <v>0</v>
      </c>
      <c r="AB92" s="38">
        <f aca="true" t="shared" si="114" ref="AB92:AB97">IF(AQ92="1",BH92,0)</f>
        <v>0</v>
      </c>
      <c r="AC92" s="38">
        <f aca="true" t="shared" si="115" ref="AC92:AC97">IF(AQ92="1",BI92,0)</f>
        <v>0</v>
      </c>
      <c r="AD92" s="38">
        <f aca="true" t="shared" si="116" ref="AD92:AD97">IF(AQ92="7",BH92,0)</f>
        <v>0</v>
      </c>
      <c r="AE92" s="38">
        <f aca="true" t="shared" si="117" ref="AE92:AE97">IF(AQ92="7",BI92,0)</f>
        <v>0</v>
      </c>
      <c r="AF92" s="38">
        <f aca="true" t="shared" si="118" ref="AF92:AF97">IF(AQ92="2",BH92,0)</f>
        <v>0</v>
      </c>
      <c r="AG92" s="38">
        <f aca="true" t="shared" si="119" ref="AG92:AG97">IF(AQ92="2",BI92,0)</f>
        <v>0</v>
      </c>
      <c r="AH92" s="38">
        <f aca="true" t="shared" si="120" ref="AH92:AH97">IF(AQ92="0",BJ92,0)</f>
        <v>0</v>
      </c>
      <c r="AI92" s="37"/>
      <c r="AJ92" s="20">
        <f aca="true" t="shared" si="121" ref="AJ92:AJ97">IF(AN92=0,L92,0)</f>
        <v>0</v>
      </c>
      <c r="AK92" s="20">
        <f aca="true" t="shared" si="122" ref="AK92:AK97">IF(AN92=15,L92,0)</f>
        <v>0</v>
      </c>
      <c r="AL92" s="20">
        <f aca="true" t="shared" si="123" ref="AL92:AL97">IF(AN92=21,L92,0)</f>
        <v>0</v>
      </c>
      <c r="AN92" s="38">
        <v>21</v>
      </c>
      <c r="AO92" s="38">
        <f>I92*0</f>
        <v>0</v>
      </c>
      <c r="AP92" s="38">
        <f>I92*(1-0)</f>
        <v>0</v>
      </c>
      <c r="AQ92" s="39" t="s">
        <v>8</v>
      </c>
      <c r="AV92" s="38">
        <f aca="true" t="shared" si="124" ref="AV92:AV97">AW92+AX92</f>
        <v>0</v>
      </c>
      <c r="AW92" s="38">
        <f aca="true" t="shared" si="125" ref="AW92:AW97">H92*AO92</f>
        <v>0</v>
      </c>
      <c r="AX92" s="38">
        <f aca="true" t="shared" si="126" ref="AX92:AX97">H92*AP92</f>
        <v>0</v>
      </c>
      <c r="AY92" s="41" t="s">
        <v>309</v>
      </c>
      <c r="AZ92" s="41" t="s">
        <v>319</v>
      </c>
      <c r="BA92" s="37" t="s">
        <v>320</v>
      </c>
      <c r="BC92" s="38">
        <f aca="true" t="shared" si="127" ref="BC92:BC97">AW92+AX92</f>
        <v>0</v>
      </c>
      <c r="BD92" s="38">
        <f aca="true" t="shared" si="128" ref="BD92:BD97">I92/(100-BE92)*100</f>
        <v>0</v>
      </c>
      <c r="BE92" s="38">
        <v>0</v>
      </c>
      <c r="BF92" s="38">
        <f>92</f>
        <v>92</v>
      </c>
      <c r="BH92" s="20">
        <f aca="true" t="shared" si="129" ref="BH92:BH97">H92*AO92</f>
        <v>0</v>
      </c>
      <c r="BI92" s="20">
        <f aca="true" t="shared" si="130" ref="BI92:BI97">H92*AP92</f>
        <v>0</v>
      </c>
      <c r="BJ92" s="20">
        <f aca="true" t="shared" si="131" ref="BJ92:BJ97">H92*I92</f>
        <v>0</v>
      </c>
      <c r="BK92" s="20" t="s">
        <v>325</v>
      </c>
      <c r="BL92" s="38" t="s">
        <v>152</v>
      </c>
    </row>
    <row r="93" spans="1:64" ht="12.75">
      <c r="A93" s="6" t="s">
        <v>72</v>
      </c>
      <c r="B93" s="15" t="s">
        <v>154</v>
      </c>
      <c r="C93" s="125" t="s">
        <v>246</v>
      </c>
      <c r="D93" s="126"/>
      <c r="E93" s="126"/>
      <c r="F93" s="126"/>
      <c r="G93" s="15" t="s">
        <v>266</v>
      </c>
      <c r="H93" s="21">
        <v>2</v>
      </c>
      <c r="I93" s="21">
        <v>0</v>
      </c>
      <c r="J93" s="21">
        <f t="shared" si="110"/>
        <v>0</v>
      </c>
      <c r="K93" s="21">
        <f t="shared" si="111"/>
        <v>0</v>
      </c>
      <c r="L93" s="21">
        <f t="shared" si="112"/>
        <v>0</v>
      </c>
      <c r="M93" s="33" t="s">
        <v>284</v>
      </c>
      <c r="N93" s="35"/>
      <c r="Z93" s="38">
        <f t="shared" si="113"/>
        <v>0</v>
      </c>
      <c r="AB93" s="38">
        <f t="shared" si="114"/>
        <v>0</v>
      </c>
      <c r="AC93" s="38">
        <f t="shared" si="115"/>
        <v>0</v>
      </c>
      <c r="AD93" s="38">
        <f t="shared" si="116"/>
        <v>0</v>
      </c>
      <c r="AE93" s="38">
        <f t="shared" si="117"/>
        <v>0</v>
      </c>
      <c r="AF93" s="38">
        <f t="shared" si="118"/>
        <v>0</v>
      </c>
      <c r="AG93" s="38">
        <f t="shared" si="119"/>
        <v>0</v>
      </c>
      <c r="AH93" s="38">
        <f t="shared" si="120"/>
        <v>0</v>
      </c>
      <c r="AI93" s="37"/>
      <c r="AJ93" s="21">
        <f t="shared" si="121"/>
        <v>0</v>
      </c>
      <c r="AK93" s="21">
        <f t="shared" si="122"/>
        <v>0</v>
      </c>
      <c r="AL93" s="21">
        <f t="shared" si="123"/>
        <v>0</v>
      </c>
      <c r="AN93" s="38">
        <v>21</v>
      </c>
      <c r="AO93" s="38">
        <f>I93*1</f>
        <v>0</v>
      </c>
      <c r="AP93" s="38">
        <f>I93*(1-1)</f>
        <v>0</v>
      </c>
      <c r="AQ93" s="40" t="s">
        <v>7</v>
      </c>
      <c r="AV93" s="38">
        <f t="shared" si="124"/>
        <v>0</v>
      </c>
      <c r="AW93" s="38">
        <f t="shared" si="125"/>
        <v>0</v>
      </c>
      <c r="AX93" s="38">
        <f t="shared" si="126"/>
        <v>0</v>
      </c>
      <c r="AY93" s="41" t="s">
        <v>309</v>
      </c>
      <c r="AZ93" s="41" t="s">
        <v>319</v>
      </c>
      <c r="BA93" s="37" t="s">
        <v>320</v>
      </c>
      <c r="BC93" s="38">
        <f t="shared" si="127"/>
        <v>0</v>
      </c>
      <c r="BD93" s="38">
        <f t="shared" si="128"/>
        <v>0</v>
      </c>
      <c r="BE93" s="38">
        <v>0</v>
      </c>
      <c r="BF93" s="38">
        <f>93</f>
        <v>93</v>
      </c>
      <c r="BH93" s="21">
        <f t="shared" si="129"/>
        <v>0</v>
      </c>
      <c r="BI93" s="21">
        <f t="shared" si="130"/>
        <v>0</v>
      </c>
      <c r="BJ93" s="21">
        <f t="shared" si="131"/>
        <v>0</v>
      </c>
      <c r="BK93" s="21" t="s">
        <v>326</v>
      </c>
      <c r="BL93" s="38" t="s">
        <v>152</v>
      </c>
    </row>
    <row r="94" spans="1:64" ht="12.75">
      <c r="A94" s="6" t="s">
        <v>73</v>
      </c>
      <c r="B94" s="15" t="s">
        <v>155</v>
      </c>
      <c r="C94" s="125" t="s">
        <v>247</v>
      </c>
      <c r="D94" s="126"/>
      <c r="E94" s="126"/>
      <c r="F94" s="126"/>
      <c r="G94" s="15" t="s">
        <v>266</v>
      </c>
      <c r="H94" s="21">
        <v>2</v>
      </c>
      <c r="I94" s="21">
        <v>0</v>
      </c>
      <c r="J94" s="21">
        <f t="shared" si="110"/>
        <v>0</v>
      </c>
      <c r="K94" s="21">
        <f t="shared" si="111"/>
        <v>0</v>
      </c>
      <c r="L94" s="21">
        <f t="shared" si="112"/>
        <v>0</v>
      </c>
      <c r="M94" s="33" t="s">
        <v>284</v>
      </c>
      <c r="N94" s="35"/>
      <c r="Z94" s="38">
        <f t="shared" si="113"/>
        <v>0</v>
      </c>
      <c r="AB94" s="38">
        <f t="shared" si="114"/>
        <v>0</v>
      </c>
      <c r="AC94" s="38">
        <f t="shared" si="115"/>
        <v>0</v>
      </c>
      <c r="AD94" s="38">
        <f t="shared" si="116"/>
        <v>0</v>
      </c>
      <c r="AE94" s="38">
        <f t="shared" si="117"/>
        <v>0</v>
      </c>
      <c r="AF94" s="38">
        <f t="shared" si="118"/>
        <v>0</v>
      </c>
      <c r="AG94" s="38">
        <f t="shared" si="119"/>
        <v>0</v>
      </c>
      <c r="AH94" s="38">
        <f t="shared" si="120"/>
        <v>0</v>
      </c>
      <c r="AI94" s="37"/>
      <c r="AJ94" s="21">
        <f t="shared" si="121"/>
        <v>0</v>
      </c>
      <c r="AK94" s="21">
        <f t="shared" si="122"/>
        <v>0</v>
      </c>
      <c r="AL94" s="21">
        <f t="shared" si="123"/>
        <v>0</v>
      </c>
      <c r="AN94" s="38">
        <v>21</v>
      </c>
      <c r="AO94" s="38">
        <f>I94*1</f>
        <v>0</v>
      </c>
      <c r="AP94" s="38">
        <f>I94*(1-1)</f>
        <v>0</v>
      </c>
      <c r="AQ94" s="40" t="s">
        <v>7</v>
      </c>
      <c r="AV94" s="38">
        <f t="shared" si="124"/>
        <v>0</v>
      </c>
      <c r="AW94" s="38">
        <f t="shared" si="125"/>
        <v>0</v>
      </c>
      <c r="AX94" s="38">
        <f t="shared" si="126"/>
        <v>0</v>
      </c>
      <c r="AY94" s="41" t="s">
        <v>309</v>
      </c>
      <c r="AZ94" s="41" t="s">
        <v>319</v>
      </c>
      <c r="BA94" s="37" t="s">
        <v>320</v>
      </c>
      <c r="BC94" s="38">
        <f t="shared" si="127"/>
        <v>0</v>
      </c>
      <c r="BD94" s="38">
        <f t="shared" si="128"/>
        <v>0</v>
      </c>
      <c r="BE94" s="38">
        <v>0</v>
      </c>
      <c r="BF94" s="38">
        <f>94</f>
        <v>94</v>
      </c>
      <c r="BH94" s="21">
        <f t="shared" si="129"/>
        <v>0</v>
      </c>
      <c r="BI94" s="21">
        <f t="shared" si="130"/>
        <v>0</v>
      </c>
      <c r="BJ94" s="21">
        <f t="shared" si="131"/>
        <v>0</v>
      </c>
      <c r="BK94" s="21" t="s">
        <v>326</v>
      </c>
      <c r="BL94" s="38" t="s">
        <v>152</v>
      </c>
    </row>
    <row r="95" spans="1:64" ht="12.75">
      <c r="A95" s="4" t="s">
        <v>74</v>
      </c>
      <c r="B95" s="13" t="s">
        <v>156</v>
      </c>
      <c r="C95" s="121" t="s">
        <v>248</v>
      </c>
      <c r="D95" s="122"/>
      <c r="E95" s="122"/>
      <c r="F95" s="122"/>
      <c r="G95" s="13" t="s">
        <v>266</v>
      </c>
      <c r="H95" s="20">
        <v>8</v>
      </c>
      <c r="I95" s="20">
        <v>0</v>
      </c>
      <c r="J95" s="20">
        <f t="shared" si="110"/>
        <v>0</v>
      </c>
      <c r="K95" s="20">
        <f t="shared" si="111"/>
        <v>0</v>
      </c>
      <c r="L95" s="20">
        <f t="shared" si="112"/>
        <v>0</v>
      </c>
      <c r="M95" s="31" t="s">
        <v>284</v>
      </c>
      <c r="N95" s="35"/>
      <c r="Z95" s="38">
        <f t="shared" si="113"/>
        <v>0</v>
      </c>
      <c r="AB95" s="38">
        <f t="shared" si="114"/>
        <v>0</v>
      </c>
      <c r="AC95" s="38">
        <f t="shared" si="115"/>
        <v>0</v>
      </c>
      <c r="AD95" s="38">
        <f t="shared" si="116"/>
        <v>0</v>
      </c>
      <c r="AE95" s="38">
        <f t="shared" si="117"/>
        <v>0</v>
      </c>
      <c r="AF95" s="38">
        <f t="shared" si="118"/>
        <v>0</v>
      </c>
      <c r="AG95" s="38">
        <f t="shared" si="119"/>
        <v>0</v>
      </c>
      <c r="AH95" s="38">
        <f t="shared" si="120"/>
        <v>0</v>
      </c>
      <c r="AI95" s="37"/>
      <c r="AJ95" s="20">
        <f t="shared" si="121"/>
        <v>0</v>
      </c>
      <c r="AK95" s="20">
        <f t="shared" si="122"/>
        <v>0</v>
      </c>
      <c r="AL95" s="20">
        <f t="shared" si="123"/>
        <v>0</v>
      </c>
      <c r="AN95" s="38">
        <v>21</v>
      </c>
      <c r="AO95" s="38">
        <f>I95*0</f>
        <v>0</v>
      </c>
      <c r="AP95" s="38">
        <f>I95*(1-0)</f>
        <v>0</v>
      </c>
      <c r="AQ95" s="39" t="s">
        <v>7</v>
      </c>
      <c r="AV95" s="38">
        <f t="shared" si="124"/>
        <v>0</v>
      </c>
      <c r="AW95" s="38">
        <f t="shared" si="125"/>
        <v>0</v>
      </c>
      <c r="AX95" s="38">
        <f t="shared" si="126"/>
        <v>0</v>
      </c>
      <c r="AY95" s="41" t="s">
        <v>309</v>
      </c>
      <c r="AZ95" s="41" t="s">
        <v>319</v>
      </c>
      <c r="BA95" s="37" t="s">
        <v>320</v>
      </c>
      <c r="BC95" s="38">
        <f t="shared" si="127"/>
        <v>0</v>
      </c>
      <c r="BD95" s="38">
        <f t="shared" si="128"/>
        <v>0</v>
      </c>
      <c r="BE95" s="38">
        <v>0</v>
      </c>
      <c r="BF95" s="38">
        <f>95</f>
        <v>95</v>
      </c>
      <c r="BH95" s="20">
        <f t="shared" si="129"/>
        <v>0</v>
      </c>
      <c r="BI95" s="20">
        <f t="shared" si="130"/>
        <v>0</v>
      </c>
      <c r="BJ95" s="20">
        <f t="shared" si="131"/>
        <v>0</v>
      </c>
      <c r="BK95" s="20" t="s">
        <v>325</v>
      </c>
      <c r="BL95" s="38" t="s">
        <v>152</v>
      </c>
    </row>
    <row r="96" spans="1:64" ht="12.75">
      <c r="A96" s="6" t="s">
        <v>75</v>
      </c>
      <c r="B96" s="15" t="s">
        <v>157</v>
      </c>
      <c r="C96" s="125" t="s">
        <v>249</v>
      </c>
      <c r="D96" s="126"/>
      <c r="E96" s="126"/>
      <c r="F96" s="126"/>
      <c r="G96" s="15" t="s">
        <v>266</v>
      </c>
      <c r="H96" s="21">
        <v>2</v>
      </c>
      <c r="I96" s="21">
        <v>0</v>
      </c>
      <c r="J96" s="21">
        <f t="shared" si="110"/>
        <v>0</v>
      </c>
      <c r="K96" s="21">
        <f t="shared" si="111"/>
        <v>0</v>
      </c>
      <c r="L96" s="21">
        <f t="shared" si="112"/>
        <v>0</v>
      </c>
      <c r="M96" s="33" t="s">
        <v>284</v>
      </c>
      <c r="N96" s="35"/>
      <c r="Z96" s="38">
        <f t="shared" si="113"/>
        <v>0</v>
      </c>
      <c r="AB96" s="38">
        <f t="shared" si="114"/>
        <v>0</v>
      </c>
      <c r="AC96" s="38">
        <f t="shared" si="115"/>
        <v>0</v>
      </c>
      <c r="AD96" s="38">
        <f t="shared" si="116"/>
        <v>0</v>
      </c>
      <c r="AE96" s="38">
        <f t="shared" si="117"/>
        <v>0</v>
      </c>
      <c r="AF96" s="38">
        <f t="shared" si="118"/>
        <v>0</v>
      </c>
      <c r="AG96" s="38">
        <f t="shared" si="119"/>
        <v>0</v>
      </c>
      <c r="AH96" s="38">
        <f t="shared" si="120"/>
        <v>0</v>
      </c>
      <c r="AI96" s="37"/>
      <c r="AJ96" s="21">
        <f t="shared" si="121"/>
        <v>0</v>
      </c>
      <c r="AK96" s="21">
        <f t="shared" si="122"/>
        <v>0</v>
      </c>
      <c r="AL96" s="21">
        <f t="shared" si="123"/>
        <v>0</v>
      </c>
      <c r="AN96" s="38">
        <v>21</v>
      </c>
      <c r="AO96" s="38">
        <f>I96*1</f>
        <v>0</v>
      </c>
      <c r="AP96" s="38">
        <f>I96*(1-1)</f>
        <v>0</v>
      </c>
      <c r="AQ96" s="40" t="s">
        <v>7</v>
      </c>
      <c r="AV96" s="38">
        <f t="shared" si="124"/>
        <v>0</v>
      </c>
      <c r="AW96" s="38">
        <f t="shared" si="125"/>
        <v>0</v>
      </c>
      <c r="AX96" s="38">
        <f t="shared" si="126"/>
        <v>0</v>
      </c>
      <c r="AY96" s="41" t="s">
        <v>309</v>
      </c>
      <c r="AZ96" s="41" t="s">
        <v>319</v>
      </c>
      <c r="BA96" s="37" t="s">
        <v>320</v>
      </c>
      <c r="BC96" s="38">
        <f t="shared" si="127"/>
        <v>0</v>
      </c>
      <c r="BD96" s="38">
        <f t="shared" si="128"/>
        <v>0</v>
      </c>
      <c r="BE96" s="38">
        <v>0</v>
      </c>
      <c r="BF96" s="38">
        <f>96</f>
        <v>96</v>
      </c>
      <c r="BH96" s="21">
        <f t="shared" si="129"/>
        <v>0</v>
      </c>
      <c r="BI96" s="21">
        <f t="shared" si="130"/>
        <v>0</v>
      </c>
      <c r="BJ96" s="21">
        <f t="shared" si="131"/>
        <v>0</v>
      </c>
      <c r="BK96" s="21" t="s">
        <v>326</v>
      </c>
      <c r="BL96" s="38" t="s">
        <v>152</v>
      </c>
    </row>
    <row r="97" spans="1:64" ht="12.75">
      <c r="A97" s="6" t="s">
        <v>76</v>
      </c>
      <c r="B97" s="15" t="s">
        <v>158</v>
      </c>
      <c r="C97" s="125" t="s">
        <v>250</v>
      </c>
      <c r="D97" s="126"/>
      <c r="E97" s="126"/>
      <c r="F97" s="126"/>
      <c r="G97" s="15" t="s">
        <v>266</v>
      </c>
      <c r="H97" s="21">
        <v>6</v>
      </c>
      <c r="I97" s="21">
        <v>0</v>
      </c>
      <c r="J97" s="21">
        <f t="shared" si="110"/>
        <v>0</v>
      </c>
      <c r="K97" s="21">
        <f t="shared" si="111"/>
        <v>0</v>
      </c>
      <c r="L97" s="21">
        <f t="shared" si="112"/>
        <v>0</v>
      </c>
      <c r="M97" s="33" t="s">
        <v>284</v>
      </c>
      <c r="N97" s="35"/>
      <c r="Z97" s="38">
        <f t="shared" si="113"/>
        <v>0</v>
      </c>
      <c r="AB97" s="38">
        <f t="shared" si="114"/>
        <v>0</v>
      </c>
      <c r="AC97" s="38">
        <f t="shared" si="115"/>
        <v>0</v>
      </c>
      <c r="AD97" s="38">
        <f t="shared" si="116"/>
        <v>0</v>
      </c>
      <c r="AE97" s="38">
        <f t="shared" si="117"/>
        <v>0</v>
      </c>
      <c r="AF97" s="38">
        <f t="shared" si="118"/>
        <v>0</v>
      </c>
      <c r="AG97" s="38">
        <f t="shared" si="119"/>
        <v>0</v>
      </c>
      <c r="AH97" s="38">
        <f t="shared" si="120"/>
        <v>0</v>
      </c>
      <c r="AI97" s="37"/>
      <c r="AJ97" s="21">
        <f t="shared" si="121"/>
        <v>0</v>
      </c>
      <c r="AK97" s="21">
        <f t="shared" si="122"/>
        <v>0</v>
      </c>
      <c r="AL97" s="21">
        <f t="shared" si="123"/>
        <v>0</v>
      </c>
      <c r="AN97" s="38">
        <v>21</v>
      </c>
      <c r="AO97" s="38">
        <f>I97*1</f>
        <v>0</v>
      </c>
      <c r="AP97" s="38">
        <f>I97*(1-1)</f>
        <v>0</v>
      </c>
      <c r="AQ97" s="40" t="s">
        <v>7</v>
      </c>
      <c r="AV97" s="38">
        <f t="shared" si="124"/>
        <v>0</v>
      </c>
      <c r="AW97" s="38">
        <f t="shared" si="125"/>
        <v>0</v>
      </c>
      <c r="AX97" s="38">
        <f t="shared" si="126"/>
        <v>0</v>
      </c>
      <c r="AY97" s="41" t="s">
        <v>309</v>
      </c>
      <c r="AZ97" s="41" t="s">
        <v>319</v>
      </c>
      <c r="BA97" s="37" t="s">
        <v>320</v>
      </c>
      <c r="BC97" s="38">
        <f t="shared" si="127"/>
        <v>0</v>
      </c>
      <c r="BD97" s="38">
        <f t="shared" si="128"/>
        <v>0</v>
      </c>
      <c r="BE97" s="38">
        <v>0</v>
      </c>
      <c r="BF97" s="38">
        <f>97</f>
        <v>97</v>
      </c>
      <c r="BH97" s="21">
        <f t="shared" si="129"/>
        <v>0</v>
      </c>
      <c r="BI97" s="21">
        <f t="shared" si="130"/>
        <v>0</v>
      </c>
      <c r="BJ97" s="21">
        <f t="shared" si="131"/>
        <v>0</v>
      </c>
      <c r="BK97" s="21" t="s">
        <v>326</v>
      </c>
      <c r="BL97" s="38" t="s">
        <v>152</v>
      </c>
    </row>
    <row r="98" spans="1:47" ht="12.75">
      <c r="A98" s="5"/>
      <c r="B98" s="14" t="s">
        <v>159</v>
      </c>
      <c r="C98" s="123" t="s">
        <v>251</v>
      </c>
      <c r="D98" s="124"/>
      <c r="E98" s="124"/>
      <c r="F98" s="124"/>
      <c r="G98" s="18" t="s">
        <v>6</v>
      </c>
      <c r="H98" s="18" t="s">
        <v>6</v>
      </c>
      <c r="I98" s="18" t="s">
        <v>6</v>
      </c>
      <c r="J98" s="44">
        <f>SUM(J99:J103)</f>
        <v>0</v>
      </c>
      <c r="K98" s="44">
        <f>SUM(K99:K103)</f>
        <v>0</v>
      </c>
      <c r="L98" s="44">
        <f>SUM(L99:L103)</f>
        <v>0</v>
      </c>
      <c r="M98" s="32"/>
      <c r="N98" s="35"/>
      <c r="AI98" s="37"/>
      <c r="AS98" s="44">
        <f>SUM(AJ99:AJ103)</f>
        <v>0</v>
      </c>
      <c r="AT98" s="44">
        <f>SUM(AK99:AK103)</f>
        <v>0</v>
      </c>
      <c r="AU98" s="44">
        <f>SUM(AL99:AL103)</f>
        <v>0</v>
      </c>
    </row>
    <row r="99" spans="1:64" ht="12.75">
      <c r="A99" s="4" t="s">
        <v>77</v>
      </c>
      <c r="B99" s="13" t="s">
        <v>160</v>
      </c>
      <c r="C99" s="121" t="s">
        <v>252</v>
      </c>
      <c r="D99" s="122"/>
      <c r="E99" s="122"/>
      <c r="F99" s="122"/>
      <c r="G99" s="13" t="s">
        <v>268</v>
      </c>
      <c r="H99" s="20">
        <v>3</v>
      </c>
      <c r="I99" s="20">
        <v>0</v>
      </c>
      <c r="J99" s="20">
        <f>H99*AO99</f>
        <v>0</v>
      </c>
      <c r="K99" s="20">
        <f>H99*AP99</f>
        <v>0</v>
      </c>
      <c r="L99" s="20">
        <f>H99*I99</f>
        <v>0</v>
      </c>
      <c r="M99" s="31" t="s">
        <v>284</v>
      </c>
      <c r="N99" s="35"/>
      <c r="Z99" s="38">
        <f>IF(AQ99="5",BJ99,0)</f>
        <v>0</v>
      </c>
      <c r="AB99" s="38">
        <f>IF(AQ99="1",BH99,0)</f>
        <v>0</v>
      </c>
      <c r="AC99" s="38">
        <f>IF(AQ99="1",BI99,0)</f>
        <v>0</v>
      </c>
      <c r="AD99" s="38">
        <f>IF(AQ99="7",BH99,0)</f>
        <v>0</v>
      </c>
      <c r="AE99" s="38">
        <f>IF(AQ99="7",BI99,0)</f>
        <v>0</v>
      </c>
      <c r="AF99" s="38">
        <f>IF(AQ99="2",BH99,0)</f>
        <v>0</v>
      </c>
      <c r="AG99" s="38">
        <f>IF(AQ99="2",BI99,0)</f>
        <v>0</v>
      </c>
      <c r="AH99" s="38">
        <f>IF(AQ99="0",BJ99,0)</f>
        <v>0</v>
      </c>
      <c r="AI99" s="37"/>
      <c r="AJ99" s="20">
        <f>IF(AN99=0,L99,0)</f>
        <v>0</v>
      </c>
      <c r="AK99" s="20">
        <f>IF(AN99=15,L99,0)</f>
        <v>0</v>
      </c>
      <c r="AL99" s="20">
        <f>IF(AN99=21,L99,0)</f>
        <v>0</v>
      </c>
      <c r="AN99" s="38">
        <v>21</v>
      </c>
      <c r="AO99" s="38">
        <f>I99*0</f>
        <v>0</v>
      </c>
      <c r="AP99" s="38">
        <f>I99*(1-0)</f>
        <v>0</v>
      </c>
      <c r="AQ99" s="39" t="s">
        <v>11</v>
      </c>
      <c r="AV99" s="38">
        <f>AW99+AX99</f>
        <v>0</v>
      </c>
      <c r="AW99" s="38">
        <f>H99*AO99</f>
        <v>0</v>
      </c>
      <c r="AX99" s="38">
        <f>H99*AP99</f>
        <v>0</v>
      </c>
      <c r="AY99" s="41" t="s">
        <v>310</v>
      </c>
      <c r="AZ99" s="41" t="s">
        <v>319</v>
      </c>
      <c r="BA99" s="37" t="s">
        <v>320</v>
      </c>
      <c r="BC99" s="38">
        <f>AW99+AX99</f>
        <v>0</v>
      </c>
      <c r="BD99" s="38">
        <f>I99/(100-BE99)*100</f>
        <v>0</v>
      </c>
      <c r="BE99" s="38">
        <v>0</v>
      </c>
      <c r="BF99" s="38">
        <f>99</f>
        <v>99</v>
      </c>
      <c r="BH99" s="20">
        <f>H99*AO99</f>
        <v>0</v>
      </c>
      <c r="BI99" s="20">
        <f>H99*AP99</f>
        <v>0</v>
      </c>
      <c r="BJ99" s="20">
        <f>H99*I99</f>
        <v>0</v>
      </c>
      <c r="BK99" s="20" t="s">
        <v>325</v>
      </c>
      <c r="BL99" s="38" t="s">
        <v>159</v>
      </c>
    </row>
    <row r="100" spans="1:64" ht="12.75">
      <c r="A100" s="4" t="s">
        <v>78</v>
      </c>
      <c r="B100" s="13" t="s">
        <v>161</v>
      </c>
      <c r="C100" s="121" t="s">
        <v>253</v>
      </c>
      <c r="D100" s="122"/>
      <c r="E100" s="122"/>
      <c r="F100" s="122"/>
      <c r="G100" s="13" t="s">
        <v>268</v>
      </c>
      <c r="H100" s="20">
        <v>3</v>
      </c>
      <c r="I100" s="20">
        <v>0</v>
      </c>
      <c r="J100" s="20">
        <f>H100*AO100</f>
        <v>0</v>
      </c>
      <c r="K100" s="20">
        <f>H100*AP100</f>
        <v>0</v>
      </c>
      <c r="L100" s="20">
        <f>H100*I100</f>
        <v>0</v>
      </c>
      <c r="M100" s="31" t="s">
        <v>284</v>
      </c>
      <c r="N100" s="35"/>
      <c r="Z100" s="38">
        <f>IF(AQ100="5",BJ100,0)</f>
        <v>0</v>
      </c>
      <c r="AB100" s="38">
        <f>IF(AQ100="1",BH100,0)</f>
        <v>0</v>
      </c>
      <c r="AC100" s="38">
        <f>IF(AQ100="1",BI100,0)</f>
        <v>0</v>
      </c>
      <c r="AD100" s="38">
        <f>IF(AQ100="7",BH100,0)</f>
        <v>0</v>
      </c>
      <c r="AE100" s="38">
        <f>IF(AQ100="7",BI100,0)</f>
        <v>0</v>
      </c>
      <c r="AF100" s="38">
        <f>IF(AQ100="2",BH100,0)</f>
        <v>0</v>
      </c>
      <c r="AG100" s="38">
        <f>IF(AQ100="2",BI100,0)</f>
        <v>0</v>
      </c>
      <c r="AH100" s="38">
        <f>IF(AQ100="0",BJ100,0)</f>
        <v>0</v>
      </c>
      <c r="AI100" s="37"/>
      <c r="AJ100" s="20">
        <f>IF(AN100=0,L100,0)</f>
        <v>0</v>
      </c>
      <c r="AK100" s="20">
        <f>IF(AN100=15,L100,0)</f>
        <v>0</v>
      </c>
      <c r="AL100" s="20">
        <f>IF(AN100=21,L100,0)</f>
        <v>0</v>
      </c>
      <c r="AN100" s="38">
        <v>21</v>
      </c>
      <c r="AO100" s="38">
        <f>I100*0</f>
        <v>0</v>
      </c>
      <c r="AP100" s="38">
        <f>I100*(1-0)</f>
        <v>0</v>
      </c>
      <c r="AQ100" s="39" t="s">
        <v>11</v>
      </c>
      <c r="AV100" s="38">
        <f>AW100+AX100</f>
        <v>0</v>
      </c>
      <c r="AW100" s="38">
        <f>H100*AO100</f>
        <v>0</v>
      </c>
      <c r="AX100" s="38">
        <f>H100*AP100</f>
        <v>0</v>
      </c>
      <c r="AY100" s="41" t="s">
        <v>310</v>
      </c>
      <c r="AZ100" s="41" t="s">
        <v>319</v>
      </c>
      <c r="BA100" s="37" t="s">
        <v>320</v>
      </c>
      <c r="BC100" s="38">
        <f>AW100+AX100</f>
        <v>0</v>
      </c>
      <c r="BD100" s="38">
        <f>I100/(100-BE100)*100</f>
        <v>0</v>
      </c>
      <c r="BE100" s="38">
        <v>0</v>
      </c>
      <c r="BF100" s="38">
        <f>100</f>
        <v>100</v>
      </c>
      <c r="BH100" s="20">
        <f>H100*AO100</f>
        <v>0</v>
      </c>
      <c r="BI100" s="20">
        <f>H100*AP100</f>
        <v>0</v>
      </c>
      <c r="BJ100" s="20">
        <f>H100*I100</f>
        <v>0</v>
      </c>
      <c r="BK100" s="20" t="s">
        <v>325</v>
      </c>
      <c r="BL100" s="38" t="s">
        <v>159</v>
      </c>
    </row>
    <row r="101" spans="1:64" ht="12.75">
      <c r="A101" s="4" t="s">
        <v>79</v>
      </c>
      <c r="B101" s="13" t="s">
        <v>162</v>
      </c>
      <c r="C101" s="121" t="s">
        <v>254</v>
      </c>
      <c r="D101" s="122"/>
      <c r="E101" s="122"/>
      <c r="F101" s="122"/>
      <c r="G101" s="13" t="s">
        <v>268</v>
      </c>
      <c r="H101" s="20">
        <v>3</v>
      </c>
      <c r="I101" s="20">
        <v>0</v>
      </c>
      <c r="J101" s="20">
        <f>H101*AO101</f>
        <v>0</v>
      </c>
      <c r="K101" s="20">
        <f>H101*AP101</f>
        <v>0</v>
      </c>
      <c r="L101" s="20">
        <f>H101*I101</f>
        <v>0</v>
      </c>
      <c r="M101" s="31" t="s">
        <v>284</v>
      </c>
      <c r="N101" s="35"/>
      <c r="Z101" s="38">
        <f>IF(AQ101="5",BJ101,0)</f>
        <v>0</v>
      </c>
      <c r="AB101" s="38">
        <f>IF(AQ101="1",BH101,0)</f>
        <v>0</v>
      </c>
      <c r="AC101" s="38">
        <f>IF(AQ101="1",BI101,0)</f>
        <v>0</v>
      </c>
      <c r="AD101" s="38">
        <f>IF(AQ101="7",BH101,0)</f>
        <v>0</v>
      </c>
      <c r="AE101" s="38">
        <f>IF(AQ101="7",BI101,0)</f>
        <v>0</v>
      </c>
      <c r="AF101" s="38">
        <f>IF(AQ101="2",BH101,0)</f>
        <v>0</v>
      </c>
      <c r="AG101" s="38">
        <f>IF(AQ101="2",BI101,0)</f>
        <v>0</v>
      </c>
      <c r="AH101" s="38">
        <f>IF(AQ101="0",BJ101,0)</f>
        <v>0</v>
      </c>
      <c r="AI101" s="37"/>
      <c r="AJ101" s="20">
        <f>IF(AN101=0,L101,0)</f>
        <v>0</v>
      </c>
      <c r="AK101" s="20">
        <f>IF(AN101=15,L101,0)</f>
        <v>0</v>
      </c>
      <c r="AL101" s="20">
        <f>IF(AN101=21,L101,0)</f>
        <v>0</v>
      </c>
      <c r="AN101" s="38">
        <v>21</v>
      </c>
      <c r="AO101" s="38">
        <f>I101*0</f>
        <v>0</v>
      </c>
      <c r="AP101" s="38">
        <f>I101*(1-0)</f>
        <v>0</v>
      </c>
      <c r="AQ101" s="39" t="s">
        <v>11</v>
      </c>
      <c r="AV101" s="38">
        <f>AW101+AX101</f>
        <v>0</v>
      </c>
      <c r="AW101" s="38">
        <f>H101*AO101</f>
        <v>0</v>
      </c>
      <c r="AX101" s="38">
        <f>H101*AP101</f>
        <v>0</v>
      </c>
      <c r="AY101" s="41" t="s">
        <v>310</v>
      </c>
      <c r="AZ101" s="41" t="s">
        <v>319</v>
      </c>
      <c r="BA101" s="37" t="s">
        <v>320</v>
      </c>
      <c r="BC101" s="38">
        <f>AW101+AX101</f>
        <v>0</v>
      </c>
      <c r="BD101" s="38">
        <f>I101/(100-BE101)*100</f>
        <v>0</v>
      </c>
      <c r="BE101" s="38">
        <v>0</v>
      </c>
      <c r="BF101" s="38">
        <f>101</f>
        <v>101</v>
      </c>
      <c r="BH101" s="20">
        <f>H101*AO101</f>
        <v>0</v>
      </c>
      <c r="BI101" s="20">
        <f>H101*AP101</f>
        <v>0</v>
      </c>
      <c r="BJ101" s="20">
        <f>H101*I101</f>
        <v>0</v>
      </c>
      <c r="BK101" s="20" t="s">
        <v>325</v>
      </c>
      <c r="BL101" s="38" t="s">
        <v>159</v>
      </c>
    </row>
    <row r="102" spans="1:64" ht="12.75">
      <c r="A102" s="4" t="s">
        <v>80</v>
      </c>
      <c r="B102" s="13" t="s">
        <v>163</v>
      </c>
      <c r="C102" s="121" t="s">
        <v>255</v>
      </c>
      <c r="D102" s="122"/>
      <c r="E102" s="122"/>
      <c r="F102" s="122"/>
      <c r="G102" s="13" t="s">
        <v>268</v>
      </c>
      <c r="H102" s="20">
        <v>3</v>
      </c>
      <c r="I102" s="20">
        <v>0</v>
      </c>
      <c r="J102" s="20">
        <f>H102*AO102</f>
        <v>0</v>
      </c>
      <c r="K102" s="20">
        <f>H102*AP102</f>
        <v>0</v>
      </c>
      <c r="L102" s="20">
        <f>H102*I102</f>
        <v>0</v>
      </c>
      <c r="M102" s="31" t="s">
        <v>284</v>
      </c>
      <c r="N102" s="35"/>
      <c r="Z102" s="38">
        <f>IF(AQ102="5",BJ102,0)</f>
        <v>0</v>
      </c>
      <c r="AB102" s="38">
        <f>IF(AQ102="1",BH102,0)</f>
        <v>0</v>
      </c>
      <c r="AC102" s="38">
        <f>IF(AQ102="1",BI102,0)</f>
        <v>0</v>
      </c>
      <c r="AD102" s="38">
        <f>IF(AQ102="7",BH102,0)</f>
        <v>0</v>
      </c>
      <c r="AE102" s="38">
        <f>IF(AQ102="7",BI102,0)</f>
        <v>0</v>
      </c>
      <c r="AF102" s="38">
        <f>IF(AQ102="2",BH102,0)</f>
        <v>0</v>
      </c>
      <c r="AG102" s="38">
        <f>IF(AQ102="2",BI102,0)</f>
        <v>0</v>
      </c>
      <c r="AH102" s="38">
        <f>IF(AQ102="0",BJ102,0)</f>
        <v>0</v>
      </c>
      <c r="AI102" s="37"/>
      <c r="AJ102" s="20">
        <f>IF(AN102=0,L102,0)</f>
        <v>0</v>
      </c>
      <c r="AK102" s="20">
        <f>IF(AN102=15,L102,0)</f>
        <v>0</v>
      </c>
      <c r="AL102" s="20">
        <f>IF(AN102=21,L102,0)</f>
        <v>0</v>
      </c>
      <c r="AN102" s="38">
        <v>21</v>
      </c>
      <c r="AO102" s="38">
        <f>I102*0</f>
        <v>0</v>
      </c>
      <c r="AP102" s="38">
        <f>I102*(1-0)</f>
        <v>0</v>
      </c>
      <c r="AQ102" s="39" t="s">
        <v>11</v>
      </c>
      <c r="AV102" s="38">
        <f>AW102+AX102</f>
        <v>0</v>
      </c>
      <c r="AW102" s="38">
        <f>H102*AO102</f>
        <v>0</v>
      </c>
      <c r="AX102" s="38">
        <f>H102*AP102</f>
        <v>0</v>
      </c>
      <c r="AY102" s="41" t="s">
        <v>310</v>
      </c>
      <c r="AZ102" s="41" t="s">
        <v>319</v>
      </c>
      <c r="BA102" s="37" t="s">
        <v>320</v>
      </c>
      <c r="BC102" s="38">
        <f>AW102+AX102</f>
        <v>0</v>
      </c>
      <c r="BD102" s="38">
        <f>I102/(100-BE102)*100</f>
        <v>0</v>
      </c>
      <c r="BE102" s="38">
        <v>0</v>
      </c>
      <c r="BF102" s="38">
        <f>102</f>
        <v>102</v>
      </c>
      <c r="BH102" s="20">
        <f>H102*AO102</f>
        <v>0</v>
      </c>
      <c r="BI102" s="20">
        <f>H102*AP102</f>
        <v>0</v>
      </c>
      <c r="BJ102" s="20">
        <f>H102*I102</f>
        <v>0</v>
      </c>
      <c r="BK102" s="20" t="s">
        <v>325</v>
      </c>
      <c r="BL102" s="38" t="s">
        <v>159</v>
      </c>
    </row>
    <row r="103" spans="1:64" ht="12.75">
      <c r="A103" s="7" t="s">
        <v>81</v>
      </c>
      <c r="B103" s="16" t="s">
        <v>164</v>
      </c>
      <c r="C103" s="127" t="s">
        <v>256</v>
      </c>
      <c r="D103" s="128"/>
      <c r="E103" s="128"/>
      <c r="F103" s="128"/>
      <c r="G103" s="16" t="s">
        <v>268</v>
      </c>
      <c r="H103" s="22">
        <v>2</v>
      </c>
      <c r="I103" s="22">
        <v>0</v>
      </c>
      <c r="J103" s="22">
        <f>H103*AO103</f>
        <v>0</v>
      </c>
      <c r="K103" s="22">
        <f>H103*AP103</f>
        <v>0</v>
      </c>
      <c r="L103" s="22">
        <f>H103*I103</f>
        <v>0</v>
      </c>
      <c r="M103" s="34" t="s">
        <v>284</v>
      </c>
      <c r="N103" s="35"/>
      <c r="Z103" s="38">
        <f>IF(AQ103="5",BJ103,0)</f>
        <v>0</v>
      </c>
      <c r="AB103" s="38">
        <f>IF(AQ103="1",BH103,0)</f>
        <v>0</v>
      </c>
      <c r="AC103" s="38">
        <f>IF(AQ103="1",BI103,0)</f>
        <v>0</v>
      </c>
      <c r="AD103" s="38">
        <f>IF(AQ103="7",BH103,0)</f>
        <v>0</v>
      </c>
      <c r="AE103" s="38">
        <f>IF(AQ103="7",BI103,0)</f>
        <v>0</v>
      </c>
      <c r="AF103" s="38">
        <f>IF(AQ103="2",BH103,0)</f>
        <v>0</v>
      </c>
      <c r="AG103" s="38">
        <f>IF(AQ103="2",BI103,0)</f>
        <v>0</v>
      </c>
      <c r="AH103" s="38">
        <f>IF(AQ103="0",BJ103,0)</f>
        <v>0</v>
      </c>
      <c r="AI103" s="37"/>
      <c r="AJ103" s="20">
        <f>IF(AN103=0,L103,0)</f>
        <v>0</v>
      </c>
      <c r="AK103" s="20">
        <f>IF(AN103=15,L103,0)</f>
        <v>0</v>
      </c>
      <c r="AL103" s="20">
        <f>IF(AN103=21,L103,0)</f>
        <v>0</v>
      </c>
      <c r="AN103" s="38">
        <v>21</v>
      </c>
      <c r="AO103" s="38">
        <f>I103*0</f>
        <v>0</v>
      </c>
      <c r="AP103" s="38">
        <f>I103*(1-0)</f>
        <v>0</v>
      </c>
      <c r="AQ103" s="39" t="s">
        <v>11</v>
      </c>
      <c r="AV103" s="38">
        <f>AW103+AX103</f>
        <v>0</v>
      </c>
      <c r="AW103" s="38">
        <f>H103*AO103</f>
        <v>0</v>
      </c>
      <c r="AX103" s="38">
        <f>H103*AP103</f>
        <v>0</v>
      </c>
      <c r="AY103" s="41" t="s">
        <v>310</v>
      </c>
      <c r="AZ103" s="41" t="s">
        <v>319</v>
      </c>
      <c r="BA103" s="37" t="s">
        <v>320</v>
      </c>
      <c r="BC103" s="38">
        <f>AW103+AX103</f>
        <v>0</v>
      </c>
      <c r="BD103" s="38">
        <f>I103/(100-BE103)*100</f>
        <v>0</v>
      </c>
      <c r="BE103" s="38">
        <v>0</v>
      </c>
      <c r="BF103" s="38">
        <f>103</f>
        <v>103</v>
      </c>
      <c r="BH103" s="20">
        <f>H103*AO103</f>
        <v>0</v>
      </c>
      <c r="BI103" s="20">
        <f>H103*AP103</f>
        <v>0</v>
      </c>
      <c r="BJ103" s="20">
        <f>H103*I103</f>
        <v>0</v>
      </c>
      <c r="BK103" s="20" t="s">
        <v>325</v>
      </c>
      <c r="BL103" s="38" t="s">
        <v>159</v>
      </c>
    </row>
    <row r="104" spans="1:13" ht="12.75">
      <c r="A104" s="8"/>
      <c r="B104" s="8"/>
      <c r="C104" s="8"/>
      <c r="D104" s="8"/>
      <c r="E104" s="8"/>
      <c r="F104" s="8"/>
      <c r="G104" s="8"/>
      <c r="H104" s="8"/>
      <c r="I104" s="8"/>
      <c r="J104" s="89" t="s">
        <v>279</v>
      </c>
      <c r="K104" s="71"/>
      <c r="L104" s="45">
        <f>L12+L20+L26+L33+L35+L38+L42+L47+L49+L58+L68+L79+L81+L84+L88+L91+L98</f>
        <v>0</v>
      </c>
      <c r="M104" s="8"/>
    </row>
    <row r="105" ht="10.5" customHeight="1">
      <c r="A105" s="9" t="s">
        <v>82</v>
      </c>
    </row>
    <row r="106" spans="1:13" ht="12.75" customHeight="1">
      <c r="A106" s="78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</row>
  </sheetData>
  <sheetProtection/>
  <mergeCells count="122">
    <mergeCell ref="A106:M106"/>
    <mergeCell ref="C99:F99"/>
    <mergeCell ref="C100:F100"/>
    <mergeCell ref="C101:F101"/>
    <mergeCell ref="C102:F102"/>
    <mergeCell ref="C103:F103"/>
    <mergeCell ref="J104:K104"/>
    <mergeCell ref="C93:F93"/>
    <mergeCell ref="C94:F94"/>
    <mergeCell ref="C95:F95"/>
    <mergeCell ref="C96:F96"/>
    <mergeCell ref="C97:F97"/>
    <mergeCell ref="C98:F98"/>
    <mergeCell ref="C87:F87"/>
    <mergeCell ref="C88:F88"/>
    <mergeCell ref="C89:F89"/>
    <mergeCell ref="C90:F90"/>
    <mergeCell ref="C91:F91"/>
    <mergeCell ref="C92:F92"/>
    <mergeCell ref="C81:F81"/>
    <mergeCell ref="C82:F82"/>
    <mergeCell ref="C83:F83"/>
    <mergeCell ref="C84:F84"/>
    <mergeCell ref="C85:F85"/>
    <mergeCell ref="C86:F86"/>
    <mergeCell ref="C75:F75"/>
    <mergeCell ref="C76:F76"/>
    <mergeCell ref="C77:F77"/>
    <mergeCell ref="C78:F78"/>
    <mergeCell ref="C79:F79"/>
    <mergeCell ref="C80:F80"/>
    <mergeCell ref="C69:F69"/>
    <mergeCell ref="C70:F70"/>
    <mergeCell ref="C71:F71"/>
    <mergeCell ref="C72:F72"/>
    <mergeCell ref="C73:F73"/>
    <mergeCell ref="C74:F74"/>
    <mergeCell ref="C63:F63"/>
    <mergeCell ref="C64:F64"/>
    <mergeCell ref="C65:F65"/>
    <mergeCell ref="C66:F66"/>
    <mergeCell ref="C67:F67"/>
    <mergeCell ref="C68:F68"/>
    <mergeCell ref="C57:F57"/>
    <mergeCell ref="C58:F58"/>
    <mergeCell ref="C59:F59"/>
    <mergeCell ref="C60:F60"/>
    <mergeCell ref="C61:F61"/>
    <mergeCell ref="C62:F62"/>
    <mergeCell ref="C51:F51"/>
    <mergeCell ref="C52:F52"/>
    <mergeCell ref="C53:F53"/>
    <mergeCell ref="C54:F54"/>
    <mergeCell ref="C55:F55"/>
    <mergeCell ref="C56:F56"/>
    <mergeCell ref="C45:F45"/>
    <mergeCell ref="C46:F46"/>
    <mergeCell ref="C47:F47"/>
    <mergeCell ref="C48:F48"/>
    <mergeCell ref="C49:F49"/>
    <mergeCell ref="C50:F50"/>
    <mergeCell ref="C39:F39"/>
    <mergeCell ref="C40:F40"/>
    <mergeCell ref="C41:F41"/>
    <mergeCell ref="C42:F42"/>
    <mergeCell ref="C43:F43"/>
    <mergeCell ref="C44:F44"/>
    <mergeCell ref="C33:F33"/>
    <mergeCell ref="C34:F34"/>
    <mergeCell ref="C35:F35"/>
    <mergeCell ref="C36:F36"/>
    <mergeCell ref="C37:F37"/>
    <mergeCell ref="C38:F38"/>
    <mergeCell ref="C27:F27"/>
    <mergeCell ref="C28:F28"/>
    <mergeCell ref="C29:F29"/>
    <mergeCell ref="C30:F30"/>
    <mergeCell ref="C31:F31"/>
    <mergeCell ref="C32:F32"/>
    <mergeCell ref="C21:F21"/>
    <mergeCell ref="C22:F22"/>
    <mergeCell ref="C23:F23"/>
    <mergeCell ref="C24:F24"/>
    <mergeCell ref="C25:F25"/>
    <mergeCell ref="C26:F26"/>
    <mergeCell ref="C15:F15"/>
    <mergeCell ref="C16:F16"/>
    <mergeCell ref="C17:F17"/>
    <mergeCell ref="C18:F18"/>
    <mergeCell ref="C19:F19"/>
    <mergeCell ref="C20:F20"/>
    <mergeCell ref="C10:F10"/>
    <mergeCell ref="J10:L10"/>
    <mergeCell ref="C11:F11"/>
    <mergeCell ref="C12:F12"/>
    <mergeCell ref="C13:F13"/>
    <mergeCell ref="C14:F14"/>
    <mergeCell ref="A8:B9"/>
    <mergeCell ref="C8:D9"/>
    <mergeCell ref="E8:F9"/>
    <mergeCell ref="G8:H9"/>
    <mergeCell ref="I8:I9"/>
    <mergeCell ref="J8:M9"/>
    <mergeCell ref="A6:B7"/>
    <mergeCell ref="C6:D7"/>
    <mergeCell ref="E6:F7"/>
    <mergeCell ref="G6:H7"/>
    <mergeCell ref="I6:I7"/>
    <mergeCell ref="J6:M7"/>
    <mergeCell ref="A4:B5"/>
    <mergeCell ref="C4:D5"/>
    <mergeCell ref="E4:F5"/>
    <mergeCell ref="G4:H5"/>
    <mergeCell ref="I4:I5"/>
    <mergeCell ref="J4:M5"/>
    <mergeCell ref="A1:M1"/>
    <mergeCell ref="A2:B3"/>
    <mergeCell ref="C2:D3"/>
    <mergeCell ref="E2:F3"/>
    <mergeCell ref="G2:H3"/>
    <mergeCell ref="I2:I3"/>
    <mergeCell ref="J2:M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F10" sqref="F10:G11"/>
    </sheetView>
  </sheetViews>
  <sheetFormatPr defaultColWidth="11.57421875" defaultRowHeight="12.75"/>
  <cols>
    <col min="1" max="1" width="9.140625" style="0" customWidth="1"/>
    <col min="2" max="2" width="12.7109375" style="0" customWidth="1"/>
    <col min="3" max="3" width="22.8515625" style="0" customWidth="1"/>
    <col min="4" max="4" width="10.14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7109375" style="0" customWidth="1"/>
    <col min="9" max="9" width="22.8515625" style="0" customWidth="1"/>
  </cols>
  <sheetData>
    <row r="1" spans="1:9" ht="72.75" customHeight="1">
      <c r="A1" s="63"/>
      <c r="B1" s="46"/>
      <c r="C1" s="90" t="s">
        <v>343</v>
      </c>
      <c r="D1" s="65"/>
      <c r="E1" s="65"/>
      <c r="F1" s="65"/>
      <c r="G1" s="65"/>
      <c r="H1" s="65"/>
      <c r="I1" s="65"/>
    </row>
    <row r="2" spans="1:10" ht="12.75">
      <c r="A2" s="66" t="s">
        <v>1</v>
      </c>
      <c r="B2" s="67"/>
      <c r="C2" s="70" t="str">
        <f>'Stavební rozpočet'!C2</f>
        <v>Stavební úpravy prostoru šaten a sprch za účelem změny užívání na prostor šaten, sprch a WC</v>
      </c>
      <c r="D2" s="71"/>
      <c r="E2" s="74" t="s">
        <v>270</v>
      </c>
      <c r="F2" s="74" t="str">
        <f>'Stavební rozpočet'!J2</f>
        <v> </v>
      </c>
      <c r="G2" s="67"/>
      <c r="H2" s="74" t="s">
        <v>368</v>
      </c>
      <c r="I2" s="91"/>
      <c r="J2" s="35"/>
    </row>
    <row r="3" spans="1:10" ht="38.25" customHeight="1">
      <c r="A3" s="68"/>
      <c r="B3" s="69"/>
      <c r="C3" s="72"/>
      <c r="D3" s="72"/>
      <c r="E3" s="69"/>
      <c r="F3" s="69"/>
      <c r="G3" s="69"/>
      <c r="H3" s="69"/>
      <c r="I3" s="76"/>
      <c r="J3" s="35"/>
    </row>
    <row r="4" spans="1:10" ht="12.75">
      <c r="A4" s="77" t="s">
        <v>2</v>
      </c>
      <c r="B4" s="69"/>
      <c r="C4" s="78" t="str">
        <f>'Stavební rozpočet'!C4</f>
        <v> </v>
      </c>
      <c r="D4" s="69"/>
      <c r="E4" s="78" t="s">
        <v>271</v>
      </c>
      <c r="F4" s="78" t="str">
        <f>'Stavební rozpočet'!J4</f>
        <v> </v>
      </c>
      <c r="G4" s="69"/>
      <c r="H4" s="78" t="s">
        <v>368</v>
      </c>
      <c r="I4" s="92"/>
      <c r="J4" s="35"/>
    </row>
    <row r="5" spans="1:10" ht="12.75" customHeight="1">
      <c r="A5" s="68"/>
      <c r="B5" s="69"/>
      <c r="C5" s="69"/>
      <c r="D5" s="69"/>
      <c r="E5" s="69"/>
      <c r="F5" s="69"/>
      <c r="G5" s="69"/>
      <c r="H5" s="69"/>
      <c r="I5" s="76"/>
      <c r="J5" s="35"/>
    </row>
    <row r="6" spans="1:10" ht="12.75">
      <c r="A6" s="77" t="s">
        <v>3</v>
      </c>
      <c r="B6" s="69"/>
      <c r="C6" s="78" t="str">
        <f>'Stavební rozpočet'!C6</f>
        <v> </v>
      </c>
      <c r="D6" s="69"/>
      <c r="E6" s="78" t="s">
        <v>272</v>
      </c>
      <c r="F6" s="78" t="str">
        <f>'Stavební rozpočet'!J6</f>
        <v> </v>
      </c>
      <c r="G6" s="69"/>
      <c r="H6" s="78" t="s">
        <v>368</v>
      </c>
      <c r="I6" s="92"/>
      <c r="J6" s="35"/>
    </row>
    <row r="7" spans="1:10" ht="12.75" customHeight="1">
      <c r="A7" s="68"/>
      <c r="B7" s="69"/>
      <c r="C7" s="69"/>
      <c r="D7" s="69"/>
      <c r="E7" s="69"/>
      <c r="F7" s="69"/>
      <c r="G7" s="69"/>
      <c r="H7" s="69"/>
      <c r="I7" s="76"/>
      <c r="J7" s="35"/>
    </row>
    <row r="8" spans="1:10" ht="12.75">
      <c r="A8" s="77" t="s">
        <v>258</v>
      </c>
      <c r="B8" s="69"/>
      <c r="C8" s="78" t="str">
        <f>'Stavební rozpočet'!G4</f>
        <v> </v>
      </c>
      <c r="D8" s="69"/>
      <c r="E8" s="78" t="s">
        <v>259</v>
      </c>
      <c r="F8" s="78" t="str">
        <f>'Stavební rozpočet'!G6</f>
        <v> </v>
      </c>
      <c r="G8" s="69"/>
      <c r="H8" s="79" t="s">
        <v>369</v>
      </c>
      <c r="I8" s="92" t="s">
        <v>81</v>
      </c>
      <c r="J8" s="35"/>
    </row>
    <row r="9" spans="1:10" ht="12.75">
      <c r="A9" s="68"/>
      <c r="B9" s="69"/>
      <c r="C9" s="69"/>
      <c r="D9" s="69"/>
      <c r="E9" s="69"/>
      <c r="F9" s="69"/>
      <c r="G9" s="69"/>
      <c r="H9" s="69"/>
      <c r="I9" s="76"/>
      <c r="J9" s="35"/>
    </row>
    <row r="10" spans="1:10" ht="12.75">
      <c r="A10" s="77" t="s">
        <v>4</v>
      </c>
      <c r="B10" s="69"/>
      <c r="C10" s="78" t="str">
        <f>'Stavební rozpočet'!C8</f>
        <v> </v>
      </c>
      <c r="D10" s="69"/>
      <c r="E10" s="78" t="s">
        <v>273</v>
      </c>
      <c r="F10" s="78" t="str">
        <f>'Stavební rozpočet'!J8</f>
        <v> </v>
      </c>
      <c r="G10" s="69"/>
      <c r="H10" s="79" t="s">
        <v>370</v>
      </c>
      <c r="I10" s="95">
        <f>'Stavební rozpočet'!G8</f>
        <v>0</v>
      </c>
      <c r="J10" s="35"/>
    </row>
    <row r="11" spans="1:10" ht="12.75">
      <c r="A11" s="93"/>
      <c r="B11" s="94"/>
      <c r="C11" s="94"/>
      <c r="D11" s="94"/>
      <c r="E11" s="94"/>
      <c r="F11" s="94"/>
      <c r="G11" s="94"/>
      <c r="H11" s="94"/>
      <c r="I11" s="96"/>
      <c r="J11" s="35"/>
    </row>
    <row r="12" spans="1:9" ht="18.75" customHeight="1">
      <c r="A12" s="97" t="s">
        <v>328</v>
      </c>
      <c r="B12" s="98"/>
      <c r="C12" s="98"/>
      <c r="D12" s="98"/>
      <c r="E12" s="98"/>
      <c r="F12" s="98"/>
      <c r="G12" s="98"/>
      <c r="H12" s="98"/>
      <c r="I12" s="98"/>
    </row>
    <row r="13" spans="1:10" ht="26.25" customHeight="1">
      <c r="A13" s="47" t="s">
        <v>329</v>
      </c>
      <c r="B13" s="99" t="s">
        <v>341</v>
      </c>
      <c r="C13" s="100"/>
      <c r="D13" s="47" t="s">
        <v>344</v>
      </c>
      <c r="E13" s="99" t="s">
        <v>353</v>
      </c>
      <c r="F13" s="100"/>
      <c r="G13" s="47" t="s">
        <v>354</v>
      </c>
      <c r="H13" s="99" t="s">
        <v>371</v>
      </c>
      <c r="I13" s="100"/>
      <c r="J13" s="35"/>
    </row>
    <row r="14" spans="1:10" ht="12.75" customHeight="1">
      <c r="A14" s="48" t="s">
        <v>330</v>
      </c>
      <c r="B14" s="52" t="s">
        <v>342</v>
      </c>
      <c r="C14" s="56">
        <f>SUM('Stavební rozpočet'!AB12:AB103)</f>
        <v>0</v>
      </c>
      <c r="D14" s="101" t="s">
        <v>345</v>
      </c>
      <c r="E14" s="102"/>
      <c r="F14" s="56">
        <v>0</v>
      </c>
      <c r="G14" s="101" t="s">
        <v>355</v>
      </c>
      <c r="H14" s="102"/>
      <c r="I14" s="57" t="s">
        <v>84</v>
      </c>
      <c r="J14" s="35"/>
    </row>
    <row r="15" spans="1:10" ht="12.75" customHeight="1">
      <c r="A15" s="49"/>
      <c r="B15" s="52" t="s">
        <v>280</v>
      </c>
      <c r="C15" s="56">
        <f>SUM('Stavební rozpočet'!AC12:AC103)</f>
        <v>0</v>
      </c>
      <c r="D15" s="101" t="s">
        <v>346</v>
      </c>
      <c r="E15" s="102"/>
      <c r="F15" s="56">
        <v>0</v>
      </c>
      <c r="G15" s="101" t="s">
        <v>356</v>
      </c>
      <c r="H15" s="102"/>
      <c r="I15" s="57" t="s">
        <v>84</v>
      </c>
      <c r="J15" s="35"/>
    </row>
    <row r="16" spans="1:10" ht="12.75" customHeight="1">
      <c r="A16" s="48" t="s">
        <v>331</v>
      </c>
      <c r="B16" s="52" t="s">
        <v>342</v>
      </c>
      <c r="C16" s="56">
        <f>SUM('Stavební rozpočet'!AD12:AD103)</f>
        <v>0</v>
      </c>
      <c r="D16" s="101" t="s">
        <v>347</v>
      </c>
      <c r="E16" s="102"/>
      <c r="F16" s="56">
        <v>0</v>
      </c>
      <c r="G16" s="101" t="s">
        <v>357</v>
      </c>
      <c r="H16" s="102"/>
      <c r="I16" s="57" t="s">
        <v>84</v>
      </c>
      <c r="J16" s="35"/>
    </row>
    <row r="17" spans="1:10" ht="12.75" customHeight="1">
      <c r="A17" s="49"/>
      <c r="B17" s="52" t="s">
        <v>280</v>
      </c>
      <c r="C17" s="56">
        <f>SUM('Stavební rozpočet'!AE12:AE103)</f>
        <v>0</v>
      </c>
      <c r="D17" s="101"/>
      <c r="E17" s="102"/>
      <c r="F17" s="57"/>
      <c r="G17" s="101" t="s">
        <v>358</v>
      </c>
      <c r="H17" s="102"/>
      <c r="I17" s="57" t="s">
        <v>84</v>
      </c>
      <c r="J17" s="35"/>
    </row>
    <row r="18" spans="1:10" ht="12.75" customHeight="1">
      <c r="A18" s="48" t="s">
        <v>332</v>
      </c>
      <c r="B18" s="52" t="s">
        <v>342</v>
      </c>
      <c r="C18" s="56">
        <f>SUM('Stavební rozpočet'!AF12:AF103)</f>
        <v>0</v>
      </c>
      <c r="D18" s="101"/>
      <c r="E18" s="102"/>
      <c r="F18" s="57"/>
      <c r="G18" s="101" t="s">
        <v>359</v>
      </c>
      <c r="H18" s="102"/>
      <c r="I18" s="57" t="s">
        <v>84</v>
      </c>
      <c r="J18" s="35"/>
    </row>
    <row r="19" spans="1:10" ht="12.75" customHeight="1">
      <c r="A19" s="49"/>
      <c r="B19" s="52" t="s">
        <v>280</v>
      </c>
      <c r="C19" s="56">
        <f>SUM('Stavební rozpočet'!AG12:AG103)</f>
        <v>0</v>
      </c>
      <c r="D19" s="101"/>
      <c r="E19" s="102"/>
      <c r="F19" s="57"/>
      <c r="G19" s="101" t="s">
        <v>360</v>
      </c>
      <c r="H19" s="102"/>
      <c r="I19" s="57" t="s">
        <v>84</v>
      </c>
      <c r="J19" s="35"/>
    </row>
    <row r="20" spans="1:10" ht="12.75" customHeight="1">
      <c r="A20" s="103" t="s">
        <v>333</v>
      </c>
      <c r="B20" s="104"/>
      <c r="C20" s="56">
        <f>SUM('Stavební rozpočet'!AH12:AH103)</f>
        <v>0</v>
      </c>
      <c r="D20" s="101"/>
      <c r="E20" s="102"/>
      <c r="F20" s="57"/>
      <c r="G20" s="101"/>
      <c r="H20" s="102"/>
      <c r="I20" s="57"/>
      <c r="J20" s="35"/>
    </row>
    <row r="21" spans="1:10" ht="12.75" customHeight="1">
      <c r="A21" s="103" t="s">
        <v>334</v>
      </c>
      <c r="B21" s="104"/>
      <c r="C21" s="56">
        <f>SUM('Stavební rozpočet'!Z12:Z103)</f>
        <v>0</v>
      </c>
      <c r="D21" s="101"/>
      <c r="E21" s="102"/>
      <c r="F21" s="57"/>
      <c r="G21" s="101"/>
      <c r="H21" s="102"/>
      <c r="I21" s="57"/>
      <c r="J21" s="35"/>
    </row>
    <row r="22" spans="1:10" ht="16.5" customHeight="1">
      <c r="A22" s="103" t="s">
        <v>335</v>
      </c>
      <c r="B22" s="104"/>
      <c r="C22" s="56">
        <f>SUM(C14:C21)</f>
        <v>0</v>
      </c>
      <c r="D22" s="103" t="s">
        <v>348</v>
      </c>
      <c r="E22" s="104"/>
      <c r="F22" s="56">
        <f>SUM(F14:F21)</f>
        <v>0</v>
      </c>
      <c r="G22" s="103" t="s">
        <v>361</v>
      </c>
      <c r="H22" s="104"/>
      <c r="I22" s="56">
        <f>SUM(I14:I21)</f>
        <v>0</v>
      </c>
      <c r="J22" s="35"/>
    </row>
    <row r="23" spans="1:10" ht="12.75" customHeight="1">
      <c r="A23" s="8"/>
      <c r="B23" s="8"/>
      <c r="C23" s="54"/>
      <c r="D23" s="103" t="s">
        <v>349</v>
      </c>
      <c r="E23" s="104"/>
      <c r="F23" s="58">
        <v>0</v>
      </c>
      <c r="G23" s="103" t="s">
        <v>362</v>
      </c>
      <c r="H23" s="104"/>
      <c r="I23" s="56">
        <v>0</v>
      </c>
      <c r="J23" s="35"/>
    </row>
    <row r="24" spans="4:9" ht="12.75" customHeight="1">
      <c r="D24" s="8"/>
      <c r="E24" s="8"/>
      <c r="F24" s="59"/>
      <c r="G24" s="103" t="s">
        <v>363</v>
      </c>
      <c r="H24" s="104"/>
      <c r="I24" s="61"/>
    </row>
    <row r="25" spans="6:10" ht="12.75" customHeight="1">
      <c r="F25" s="60"/>
      <c r="G25" s="103" t="s">
        <v>364</v>
      </c>
      <c r="H25" s="104"/>
      <c r="I25" s="56">
        <v>0</v>
      </c>
      <c r="J25" s="35"/>
    </row>
    <row r="26" spans="1:9" ht="12.75">
      <c r="A26" s="46"/>
      <c r="B26" s="46"/>
      <c r="C26" s="46"/>
      <c r="G26" s="8"/>
      <c r="H26" s="8"/>
      <c r="I26" s="8"/>
    </row>
    <row r="27" spans="1:9" ht="12.75" customHeight="1">
      <c r="A27" s="105" t="s">
        <v>336</v>
      </c>
      <c r="B27" s="106"/>
      <c r="C27" s="62">
        <f>SUM('Stavební rozpočet'!AJ12:AJ103)</f>
        <v>0</v>
      </c>
      <c r="D27" s="55"/>
      <c r="E27" s="46"/>
      <c r="F27" s="46"/>
      <c r="G27" s="46"/>
      <c r="H27" s="46"/>
      <c r="I27" s="46"/>
    </row>
    <row r="28" spans="1:10" ht="12.75" customHeight="1">
      <c r="A28" s="105" t="s">
        <v>337</v>
      </c>
      <c r="B28" s="106"/>
      <c r="C28" s="62">
        <f>SUM('Stavební rozpočet'!AK12:AK103)</f>
        <v>0</v>
      </c>
      <c r="D28" s="105" t="s">
        <v>350</v>
      </c>
      <c r="E28" s="106"/>
      <c r="F28" s="62">
        <f>ROUND(C28*(15/100),2)</f>
        <v>0</v>
      </c>
      <c r="G28" s="105" t="s">
        <v>365</v>
      </c>
      <c r="H28" s="106"/>
      <c r="I28" s="62">
        <f>SUM(C27:C29)</f>
        <v>0</v>
      </c>
      <c r="J28" s="35"/>
    </row>
    <row r="29" spans="1:10" ht="12.75" customHeight="1">
      <c r="A29" s="105" t="s">
        <v>338</v>
      </c>
      <c r="B29" s="106"/>
      <c r="C29" s="62">
        <f>SUM('Stavební rozpočet'!AL12:AL103)+(F22+I22+F23+I23+I24+I25)</f>
        <v>0</v>
      </c>
      <c r="D29" s="105" t="s">
        <v>351</v>
      </c>
      <c r="E29" s="106"/>
      <c r="F29" s="62">
        <f>ROUND(C29*(21/100),2)</f>
        <v>0</v>
      </c>
      <c r="G29" s="105" t="s">
        <v>366</v>
      </c>
      <c r="H29" s="106"/>
      <c r="I29" s="62">
        <f>SUM(F28:F29)+I28</f>
        <v>0</v>
      </c>
      <c r="J29" s="35"/>
    </row>
    <row r="30" spans="1:9" ht="12.75">
      <c r="A30" s="50"/>
      <c r="B30" s="50"/>
      <c r="C30" s="50"/>
      <c r="D30" s="50"/>
      <c r="E30" s="50"/>
      <c r="F30" s="50"/>
      <c r="G30" s="50"/>
      <c r="H30" s="50"/>
      <c r="I30" s="50"/>
    </row>
    <row r="31" spans="1:10" ht="12.75" customHeight="1">
      <c r="A31" s="107" t="s">
        <v>339</v>
      </c>
      <c r="B31" s="108"/>
      <c r="C31" s="109"/>
      <c r="D31" s="107" t="s">
        <v>352</v>
      </c>
      <c r="E31" s="108"/>
      <c r="F31" s="109"/>
      <c r="G31" s="107" t="s">
        <v>367</v>
      </c>
      <c r="H31" s="108"/>
      <c r="I31" s="109"/>
      <c r="J31" s="36"/>
    </row>
    <row r="32" spans="1:10" ht="12.75" customHeight="1">
      <c r="A32" s="110"/>
      <c r="B32" s="111"/>
      <c r="C32" s="112"/>
      <c r="D32" s="110"/>
      <c r="E32" s="111"/>
      <c r="F32" s="112"/>
      <c r="G32" s="110"/>
      <c r="H32" s="111"/>
      <c r="I32" s="112"/>
      <c r="J32" s="36"/>
    </row>
    <row r="33" spans="1:10" ht="12.75" customHeight="1">
      <c r="A33" s="110"/>
      <c r="B33" s="111"/>
      <c r="C33" s="112"/>
      <c r="D33" s="110"/>
      <c r="E33" s="111"/>
      <c r="F33" s="112"/>
      <c r="G33" s="110"/>
      <c r="H33" s="111"/>
      <c r="I33" s="112"/>
      <c r="J33" s="36"/>
    </row>
    <row r="34" spans="1:10" ht="12.75" customHeight="1">
      <c r="A34" s="110"/>
      <c r="B34" s="111"/>
      <c r="C34" s="112"/>
      <c r="D34" s="110"/>
      <c r="E34" s="111"/>
      <c r="F34" s="112"/>
      <c r="G34" s="110"/>
      <c r="H34" s="111"/>
      <c r="I34" s="112"/>
      <c r="J34" s="36"/>
    </row>
    <row r="35" spans="1:10" ht="12.75" customHeight="1">
      <c r="A35" s="113" t="s">
        <v>340</v>
      </c>
      <c r="B35" s="114"/>
      <c r="C35" s="115"/>
      <c r="D35" s="113" t="s">
        <v>340</v>
      </c>
      <c r="E35" s="114"/>
      <c r="F35" s="115"/>
      <c r="G35" s="113" t="s">
        <v>340</v>
      </c>
      <c r="H35" s="114"/>
      <c r="I35" s="115"/>
      <c r="J35" s="36"/>
    </row>
    <row r="36" spans="1:9" ht="10.5" customHeight="1">
      <c r="A36" s="51" t="s">
        <v>82</v>
      </c>
      <c r="B36" s="53"/>
      <c r="C36" s="53"/>
      <c r="D36" s="53"/>
      <c r="E36" s="53"/>
      <c r="F36" s="53"/>
      <c r="G36" s="53"/>
      <c r="H36" s="53"/>
      <c r="I36" s="53"/>
    </row>
    <row r="37" spans="1:9" ht="12.75" customHeight="1">
      <c r="A37" s="78"/>
      <c r="B37" s="69"/>
      <c r="C37" s="69"/>
      <c r="D37" s="69"/>
      <c r="E37" s="69"/>
      <c r="F37" s="69"/>
      <c r="G37" s="69"/>
      <c r="H37" s="69"/>
      <c r="I37" s="69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Já</cp:lastModifiedBy>
  <dcterms:modified xsi:type="dcterms:W3CDTF">2022-04-18T07:16:30Z</dcterms:modified>
  <cp:category/>
  <cp:version/>
  <cp:contentType/>
  <cp:contentStatus/>
</cp:coreProperties>
</file>